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checkCompatibility="1"/>
  <mc:AlternateContent xmlns:mc="http://schemas.openxmlformats.org/markup-compatibility/2006">
    <mc:Choice Requires="x15">
      <x15ac:absPath xmlns:x15ac="http://schemas.microsoft.com/office/spreadsheetml/2010/11/ac" url="C:\Users\sophie.aloe\Documents\PBF\8- Ongoing PBF Projects\3) GYPI_DanishRefugeeCouncil_NorthKivu_17Dec2018-31July2020\1-Rapports Semestriels\Novembre 2020\"/>
    </mc:Choice>
  </mc:AlternateContent>
  <xr:revisionPtr revIDLastSave="0" documentId="8_{2ECC78FD-D137-4B93-ADE0-1608DF01867B}" xr6:coauthVersionLast="45" xr6:coauthVersionMax="45" xr10:uidLastSave="{00000000-0000-0000-0000-000000000000}"/>
  <bookViews>
    <workbookView xWindow="-120" yWindow="-120" windowWidth="20730" windowHeight="11160" xr2:uid="{00000000-000D-0000-FFFF-FFFF00000000}"/>
  </bookViews>
  <sheets>
    <sheet name="Cost category" sheetId="2" r:id="rId1"/>
    <sheet name="Project budget by outcome" sheetId="11" r:id="rId2"/>
    <sheet name="BFU Report up to 31.10.20" sheetId="13" state="hidden" r:id="rId3"/>
    <sheet name="Description of roles" sheetId="12" state="hidden" r:id="rId4"/>
  </sheets>
  <definedNames>
    <definedName name="_xlnm._FilterDatabase" localSheetId="2" hidden="1">'BFU Report up to 31.10.20'!$A$1:$J$301</definedName>
    <definedName name="_xlnm.Print_Area" localSheetId="1">'Project budget by outcome'!$A$1:$H$90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11" l="1"/>
  <c r="G13" i="11"/>
  <c r="G9" i="11"/>
  <c r="G23" i="11"/>
  <c r="G26" i="11"/>
  <c r="G76" i="11"/>
  <c r="G69" i="11"/>
  <c r="G32" i="11"/>
  <c r="G30" i="11" l="1"/>
  <c r="H284" i="13"/>
  <c r="H283" i="13"/>
  <c r="G284" i="13"/>
  <c r="G283" i="13"/>
  <c r="H270" i="13"/>
  <c r="G270" i="13"/>
  <c r="H264" i="13"/>
  <c r="G264" i="13"/>
  <c r="H260" i="13"/>
  <c r="G260" i="13"/>
  <c r="H255" i="13"/>
  <c r="G255" i="13"/>
  <c r="H249" i="13"/>
  <c r="G249" i="13"/>
  <c r="H241" i="13"/>
  <c r="G241" i="13"/>
  <c r="H234" i="13"/>
  <c r="G234" i="13"/>
  <c r="H229" i="13"/>
  <c r="G229" i="13"/>
  <c r="H218" i="13"/>
  <c r="G218" i="13"/>
  <c r="H195" i="13"/>
  <c r="G195" i="13"/>
  <c r="H182" i="13"/>
  <c r="G182" i="13"/>
  <c r="H172" i="13"/>
  <c r="G172" i="13"/>
  <c r="H168" i="13"/>
  <c r="G168" i="13"/>
  <c r="H164" i="13"/>
  <c r="G164" i="13"/>
  <c r="H159" i="13"/>
  <c r="G159" i="13"/>
  <c r="H148" i="13"/>
  <c r="G148" i="13"/>
  <c r="H143" i="13"/>
  <c r="G143" i="13"/>
  <c r="H136" i="13"/>
  <c r="G136" i="13"/>
  <c r="H130" i="13"/>
  <c r="G130" i="13"/>
  <c r="H121" i="13"/>
  <c r="G121" i="13"/>
  <c r="H118" i="13"/>
  <c r="G118" i="13"/>
  <c r="H112" i="13"/>
  <c r="G112" i="13"/>
  <c r="H106" i="13"/>
  <c r="G106" i="13"/>
  <c r="H88" i="13"/>
  <c r="G88" i="13"/>
  <c r="H78" i="13"/>
  <c r="G78" i="13"/>
  <c r="H68" i="13"/>
  <c r="G68" i="13"/>
  <c r="H58" i="13"/>
  <c r="G58" i="13"/>
  <c r="H49" i="13"/>
  <c r="G49" i="13"/>
  <c r="H40" i="13"/>
  <c r="G40" i="13"/>
  <c r="H27" i="13"/>
  <c r="G27" i="13"/>
  <c r="H16" i="13"/>
  <c r="G16" i="13"/>
  <c r="H3" i="13"/>
  <c r="G3" i="13"/>
  <c r="L16" i="2"/>
  <c r="M16" i="2" s="1"/>
  <c r="L9" i="2"/>
  <c r="M9" i="2" s="1"/>
  <c r="L10" i="2"/>
  <c r="M10" i="2" s="1"/>
  <c r="L11" i="2"/>
  <c r="M11" i="2" s="1"/>
  <c r="L12" i="2"/>
  <c r="M12" i="2" s="1"/>
  <c r="L13" i="2"/>
  <c r="L14" i="2"/>
  <c r="M14" i="2" s="1"/>
  <c r="L8" i="2"/>
  <c r="M8" i="2" s="1"/>
  <c r="G91" i="11"/>
  <c r="G21" i="11" l="1"/>
  <c r="G39" i="13"/>
  <c r="L49" i="13" s="1"/>
  <c r="G105" i="13"/>
  <c r="L106" i="13" s="1"/>
  <c r="G228" i="13"/>
  <c r="L255" i="13" s="1"/>
  <c r="G67" i="13"/>
  <c r="L68" i="13" s="1"/>
  <c r="H39" i="13"/>
  <c r="M58" i="13" s="1"/>
  <c r="G2" i="13"/>
  <c r="L16" i="13" s="1"/>
  <c r="H67" i="13"/>
  <c r="M88" i="13" s="1"/>
  <c r="H2" i="13"/>
  <c r="M3" i="13" s="1"/>
  <c r="G117" i="13"/>
  <c r="L121" i="13" s="1"/>
  <c r="G142" i="13"/>
  <c r="L148" i="13" s="1"/>
  <c r="H117" i="13"/>
  <c r="M118" i="13" s="1"/>
  <c r="H142" i="13"/>
  <c r="M159" i="13" s="1"/>
  <c r="H105" i="13"/>
  <c r="M106" i="13" s="1"/>
  <c r="H228" i="13"/>
  <c r="M234" i="13" s="1"/>
  <c r="L241" i="13"/>
  <c r="H285" i="13"/>
  <c r="H286" i="13" s="1"/>
  <c r="H288" i="13" s="1"/>
  <c r="M287" i="13" s="1"/>
  <c r="G285" i="13"/>
  <c r="G286" i="13" s="1"/>
  <c r="G288" i="13" s="1"/>
  <c r="L249" i="13"/>
  <c r="L234" i="13"/>
  <c r="L15" i="2"/>
  <c r="M241" i="13" l="1"/>
  <c r="L17" i="2"/>
  <c r="L58" i="13"/>
  <c r="L229" i="13"/>
  <c r="L40" i="13"/>
  <c r="M260" i="13"/>
  <c r="L27" i="13"/>
  <c r="M78" i="13"/>
  <c r="L3" i="13"/>
  <c r="L112" i="13"/>
  <c r="M112" i="13"/>
  <c r="M270" i="13"/>
  <c r="M49" i="13"/>
  <c r="L130" i="13"/>
  <c r="M40" i="13"/>
  <c r="L260" i="13"/>
  <c r="L88" i="13"/>
  <c r="L264" i="13"/>
  <c r="L142" i="13"/>
  <c r="M121" i="13"/>
  <c r="L159" i="13"/>
  <c r="L164" i="13"/>
  <c r="M142" i="13"/>
  <c r="M130" i="13"/>
  <c r="L78" i="13"/>
  <c r="L168" i="13"/>
  <c r="L143" i="13"/>
  <c r="L118" i="13"/>
  <c r="M143" i="13"/>
  <c r="M255" i="13"/>
  <c r="M168" i="13"/>
  <c r="M249" i="13"/>
  <c r="M264" i="13"/>
  <c r="M16" i="13"/>
  <c r="L136" i="13"/>
  <c r="M229" i="13"/>
  <c r="M148" i="13"/>
  <c r="M27" i="13"/>
  <c r="M164" i="13"/>
  <c r="M68" i="13"/>
  <c r="L105" i="13"/>
  <c r="M218" i="13"/>
  <c r="L195" i="13"/>
  <c r="M105" i="13"/>
  <c r="M172" i="13"/>
  <c r="M117" i="13"/>
  <c r="M182" i="13"/>
  <c r="M228" i="13"/>
  <c r="M67" i="13"/>
  <c r="M136" i="13"/>
  <c r="M195" i="13"/>
  <c r="M39" i="13"/>
  <c r="M2" i="13"/>
  <c r="L218" i="13"/>
  <c r="L287" i="13"/>
  <c r="L182" i="13"/>
  <c r="L270" i="13"/>
  <c r="L67" i="13"/>
  <c r="L2" i="13"/>
  <c r="L172" i="13"/>
  <c r="L228" i="13"/>
  <c r="L39" i="13"/>
  <c r="L117" i="13"/>
  <c r="J3" i="13" l="1"/>
  <c r="J4" i="13"/>
  <c r="J5" i="13"/>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105" i="13"/>
  <c r="J106" i="13"/>
  <c r="J107" i="13"/>
  <c r="J108" i="13"/>
  <c r="J109" i="13"/>
  <c r="J110" i="13"/>
  <c r="J111" i="13"/>
  <c r="J112" i="13"/>
  <c r="J113" i="13"/>
  <c r="J114" i="13"/>
  <c r="J115" i="13"/>
  <c r="J116" i="13"/>
  <c r="J117" i="13"/>
  <c r="J118" i="13"/>
  <c r="J119" i="13"/>
  <c r="J120" i="13"/>
  <c r="J121" i="13"/>
  <c r="J122" i="13"/>
  <c r="J123" i="13"/>
  <c r="J124" i="13"/>
  <c r="J125" i="13"/>
  <c r="J126" i="13"/>
  <c r="J127" i="13"/>
  <c r="J128" i="13"/>
  <c r="J129" i="13"/>
  <c r="J130" i="13"/>
  <c r="J131" i="13"/>
  <c r="J132" i="13"/>
  <c r="J133" i="13"/>
  <c r="J134" i="13"/>
  <c r="J135" i="13"/>
  <c r="J136" i="13"/>
  <c r="J137" i="13"/>
  <c r="J138" i="13"/>
  <c r="J139" i="13"/>
  <c r="J140" i="13"/>
  <c r="J141" i="13"/>
  <c r="J142" i="13"/>
  <c r="J143" i="13"/>
  <c r="J144" i="13"/>
  <c r="J145" i="13"/>
  <c r="J146" i="13"/>
  <c r="J147" i="13"/>
  <c r="J148" i="13"/>
  <c r="J149" i="13"/>
  <c r="J150" i="13"/>
  <c r="J151" i="13"/>
  <c r="J152" i="13"/>
  <c r="J153" i="13"/>
  <c r="J154" i="13"/>
  <c r="J155" i="13"/>
  <c r="J156" i="13"/>
  <c r="J157" i="13"/>
  <c r="J158" i="13"/>
  <c r="J159" i="13"/>
  <c r="J160" i="13"/>
  <c r="J161" i="13"/>
  <c r="J162" i="13"/>
  <c r="J163" i="13"/>
  <c r="J164" i="13"/>
  <c r="J165" i="13"/>
  <c r="J166" i="13"/>
  <c r="J167" i="13"/>
  <c r="J168" i="13"/>
  <c r="J169" i="13"/>
  <c r="J170" i="13"/>
  <c r="J171" i="13"/>
  <c r="J172" i="13"/>
  <c r="J173" i="13"/>
  <c r="J174" i="13"/>
  <c r="J175" i="13"/>
  <c r="J176" i="13"/>
  <c r="J177" i="13"/>
  <c r="J178" i="13"/>
  <c r="J179" i="13"/>
  <c r="J180" i="13"/>
  <c r="J181" i="13"/>
  <c r="J182" i="13"/>
  <c r="J183" i="13"/>
  <c r="J184" i="13"/>
  <c r="J185" i="13"/>
  <c r="J186" i="13"/>
  <c r="J187" i="13"/>
  <c r="J188" i="13"/>
  <c r="J189" i="13"/>
  <c r="J190" i="13"/>
  <c r="J191" i="13"/>
  <c r="J192" i="13"/>
  <c r="J193" i="13"/>
  <c r="J194" i="13"/>
  <c r="J195" i="13"/>
  <c r="J196" i="13"/>
  <c r="J197" i="13"/>
  <c r="J198" i="13"/>
  <c r="J199" i="13"/>
  <c r="J200" i="13"/>
  <c r="J201" i="13"/>
  <c r="J202" i="13"/>
  <c r="J203" i="13"/>
  <c r="J204" i="13"/>
  <c r="J205" i="13"/>
  <c r="J206" i="13"/>
  <c r="J207" i="13"/>
  <c r="J208" i="13"/>
  <c r="J209" i="13"/>
  <c r="J210" i="13"/>
  <c r="J211" i="13"/>
  <c r="J212" i="13"/>
  <c r="J213" i="13"/>
  <c r="J214" i="13"/>
  <c r="J215" i="13"/>
  <c r="J216" i="13"/>
  <c r="J217" i="13"/>
  <c r="J218" i="13"/>
  <c r="J219" i="13"/>
  <c r="J220" i="13"/>
  <c r="J221" i="13"/>
  <c r="J222" i="13"/>
  <c r="J223" i="13"/>
  <c r="J224" i="13"/>
  <c r="J225" i="13"/>
  <c r="J226" i="13"/>
  <c r="J227" i="13"/>
  <c r="J228" i="13"/>
  <c r="J229" i="13"/>
  <c r="J230" i="13"/>
  <c r="J231" i="13"/>
  <c r="J232" i="13"/>
  <c r="J233" i="13"/>
  <c r="J234" i="13"/>
  <c r="J235" i="13"/>
  <c r="J236" i="13"/>
  <c r="J237" i="13"/>
  <c r="J238" i="13"/>
  <c r="J239" i="13"/>
  <c r="J240" i="13"/>
  <c r="J241" i="13"/>
  <c r="J242" i="13"/>
  <c r="J243" i="13"/>
  <c r="J244" i="13"/>
  <c r="J245" i="13"/>
  <c r="J246" i="13"/>
  <c r="J247" i="13"/>
  <c r="J248" i="13"/>
  <c r="J249" i="13"/>
  <c r="J250" i="13"/>
  <c r="J251" i="13"/>
  <c r="J252" i="13"/>
  <c r="J253" i="13"/>
  <c r="J254" i="13"/>
  <c r="J255" i="13"/>
  <c r="J256" i="13"/>
  <c r="J257" i="13"/>
  <c r="J258" i="13"/>
  <c r="J259" i="13"/>
  <c r="J260" i="13"/>
  <c r="J261" i="13"/>
  <c r="J262" i="13"/>
  <c r="J263" i="13"/>
  <c r="J264" i="13"/>
  <c r="J265" i="13"/>
  <c r="J266" i="13"/>
  <c r="J267" i="13"/>
  <c r="J268" i="13"/>
  <c r="J269" i="13"/>
  <c r="J270" i="13"/>
  <c r="J271" i="13"/>
  <c r="J272" i="13"/>
  <c r="J273" i="13"/>
  <c r="J274" i="13"/>
  <c r="J275" i="13"/>
  <c r="J276" i="13"/>
  <c r="J277" i="13"/>
  <c r="J278" i="13"/>
  <c r="J279" i="13"/>
  <c r="J280" i="13"/>
  <c r="J281" i="13"/>
  <c r="J282" i="13"/>
  <c r="J283" i="13"/>
  <c r="J284" i="13"/>
  <c r="J285" i="13"/>
  <c r="J286" i="13"/>
  <c r="J287" i="13"/>
  <c r="J288" i="13"/>
  <c r="J2" i="13"/>
  <c r="I3" i="13"/>
  <c r="I4" i="13"/>
  <c r="I5" i="13"/>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58" i="13"/>
  <c r="I159" i="13"/>
  <c r="I160" i="13"/>
  <c r="I161" i="13"/>
  <c r="I162" i="13"/>
  <c r="I163" i="13"/>
  <c r="I164" i="13"/>
  <c r="I165" i="13"/>
  <c r="I166" i="13"/>
  <c r="I167" i="13"/>
  <c r="I168" i="13"/>
  <c r="I169" i="13"/>
  <c r="I170" i="13"/>
  <c r="I171" i="13"/>
  <c r="I172" i="13"/>
  <c r="I173" i="13"/>
  <c r="I174" i="13"/>
  <c r="I175" i="13"/>
  <c r="I176" i="13"/>
  <c r="I177" i="13"/>
  <c r="I178" i="13"/>
  <c r="I179" i="13"/>
  <c r="I180" i="13"/>
  <c r="I181" i="13"/>
  <c r="I182" i="13"/>
  <c r="I183" i="13"/>
  <c r="I184" i="13"/>
  <c r="I185" i="13"/>
  <c r="I186" i="13"/>
  <c r="I187" i="13"/>
  <c r="I188" i="13"/>
  <c r="I189" i="13"/>
  <c r="I190" i="13"/>
  <c r="I191" i="13"/>
  <c r="I192" i="13"/>
  <c r="I193" i="13"/>
  <c r="I194" i="13"/>
  <c r="I195" i="13"/>
  <c r="I196" i="13"/>
  <c r="I197" i="13"/>
  <c r="I198" i="13"/>
  <c r="I199" i="13"/>
  <c r="I200" i="13"/>
  <c r="I201" i="13"/>
  <c r="I202" i="13"/>
  <c r="I203" i="13"/>
  <c r="I204" i="13"/>
  <c r="I205" i="13"/>
  <c r="I206" i="13"/>
  <c r="I207" i="13"/>
  <c r="I208" i="13"/>
  <c r="I209" i="13"/>
  <c r="I210" i="13"/>
  <c r="I211" i="13"/>
  <c r="I212" i="13"/>
  <c r="I213" i="13"/>
  <c r="I214" i="13"/>
  <c r="I215" i="13"/>
  <c r="I216" i="13"/>
  <c r="I217" i="13"/>
  <c r="I218" i="13"/>
  <c r="I219" i="13"/>
  <c r="I220" i="13"/>
  <c r="I221" i="13"/>
  <c r="I222" i="13"/>
  <c r="I223" i="13"/>
  <c r="I224" i="13"/>
  <c r="I225" i="13"/>
  <c r="I226" i="13"/>
  <c r="I227" i="13"/>
  <c r="I228" i="13"/>
  <c r="I229" i="13"/>
  <c r="I230" i="13"/>
  <c r="I231" i="13"/>
  <c r="I232" i="13"/>
  <c r="I233" i="13"/>
  <c r="I234" i="13"/>
  <c r="I235" i="13"/>
  <c r="I236" i="13"/>
  <c r="I237" i="13"/>
  <c r="I238" i="13"/>
  <c r="I239" i="13"/>
  <c r="I240" i="13"/>
  <c r="I241" i="13"/>
  <c r="I242" i="13"/>
  <c r="I243" i="13"/>
  <c r="I244" i="13"/>
  <c r="I245" i="13"/>
  <c r="I246" i="13"/>
  <c r="I247" i="13"/>
  <c r="I248" i="13"/>
  <c r="I249" i="13"/>
  <c r="I250" i="13"/>
  <c r="I251" i="13"/>
  <c r="I252" i="13"/>
  <c r="I253" i="13"/>
  <c r="I254" i="13"/>
  <c r="I255" i="13"/>
  <c r="I256" i="13"/>
  <c r="I257" i="13"/>
  <c r="I258" i="13"/>
  <c r="I259" i="13"/>
  <c r="I260" i="13"/>
  <c r="I261" i="13"/>
  <c r="I262" i="13"/>
  <c r="I263" i="13"/>
  <c r="I264" i="13"/>
  <c r="I265" i="13"/>
  <c r="I266" i="13"/>
  <c r="I267" i="13"/>
  <c r="I268" i="13"/>
  <c r="I269" i="13"/>
  <c r="I270" i="13"/>
  <c r="I271" i="13"/>
  <c r="I272" i="13"/>
  <c r="I273" i="13"/>
  <c r="I274" i="13"/>
  <c r="I275" i="13"/>
  <c r="I276" i="13"/>
  <c r="I277" i="13"/>
  <c r="I278" i="13"/>
  <c r="I279" i="13"/>
  <c r="I280" i="13"/>
  <c r="I281" i="13"/>
  <c r="I282" i="13"/>
  <c r="I283" i="13"/>
  <c r="I284" i="13"/>
  <c r="I285" i="13"/>
  <c r="I286" i="13"/>
  <c r="I287" i="13"/>
  <c r="I288" i="13"/>
  <c r="I2" i="13"/>
  <c r="D76" i="11"/>
  <c r="C76" i="11"/>
  <c r="E76" i="11"/>
  <c r="D69" i="11"/>
  <c r="E69" i="11"/>
  <c r="D32" i="11"/>
  <c r="D90" i="11" s="1"/>
  <c r="E32" i="11"/>
  <c r="D26" i="11"/>
  <c r="E26" i="11"/>
  <c r="D23" i="11"/>
  <c r="E23" i="11"/>
  <c r="E30" i="11" s="1"/>
  <c r="D17" i="11"/>
  <c r="E17" i="11"/>
  <c r="D13" i="11"/>
  <c r="E13" i="11"/>
  <c r="D9" i="11"/>
  <c r="D21" i="11" s="1"/>
  <c r="E9" i="11"/>
  <c r="D30" i="11" l="1"/>
  <c r="D31" i="11" s="1"/>
  <c r="D92" i="11" s="1"/>
  <c r="E21" i="11"/>
  <c r="E90" i="11"/>
  <c r="G31" i="11"/>
  <c r="E31" i="11"/>
  <c r="K14" i="2"/>
  <c r="K12" i="2"/>
  <c r="K11" i="2"/>
  <c r="K16" i="2"/>
  <c r="K8" i="2"/>
  <c r="H8" i="2"/>
  <c r="E92" i="11" l="1"/>
  <c r="G90" i="11"/>
  <c r="G92" i="11" s="1"/>
  <c r="J15" i="2"/>
  <c r="K10" i="2"/>
  <c r="J17" i="2" l="1"/>
  <c r="M17" i="2" s="1"/>
  <c r="M15" i="2"/>
  <c r="H16" i="2"/>
  <c r="H10" i="2"/>
  <c r="H11" i="2"/>
  <c r="H12" i="2"/>
  <c r="H14" i="2"/>
  <c r="F76" i="11"/>
  <c r="I15" i="2"/>
  <c r="C39" i="11"/>
  <c r="C54" i="11"/>
  <c r="C55" i="11"/>
  <c r="C56" i="11"/>
  <c r="G15" i="2"/>
  <c r="G17" i="2" s="1"/>
  <c r="K17" i="2" s="1"/>
  <c r="E16" i="2"/>
  <c r="C15" i="11"/>
  <c r="C12" i="11"/>
  <c r="C10" i="11"/>
  <c r="E10" i="2"/>
  <c r="C10" i="2"/>
  <c r="D10" i="2"/>
  <c r="C16" i="2"/>
  <c r="D16" i="2"/>
  <c r="E14" i="2"/>
  <c r="D14" i="2"/>
  <c r="C14" i="2"/>
  <c r="E12" i="2"/>
  <c r="D12" i="2"/>
  <c r="C12" i="2"/>
  <c r="E11" i="2"/>
  <c r="D11" i="2"/>
  <c r="C11" i="2"/>
  <c r="F9" i="2"/>
  <c r="E8" i="2"/>
  <c r="D8" i="2"/>
  <c r="C8" i="2"/>
  <c r="C73" i="11"/>
  <c r="C69" i="11" s="1"/>
  <c r="C20" i="11"/>
  <c r="C29" i="11"/>
  <c r="C28" i="11"/>
  <c r="C27" i="11"/>
  <c r="C25" i="11"/>
  <c r="C24" i="11"/>
  <c r="C19" i="11"/>
  <c r="C18" i="11"/>
  <c r="C14" i="11"/>
  <c r="C16" i="11"/>
  <c r="C11" i="11"/>
  <c r="C9" i="2"/>
  <c r="F69" i="11"/>
  <c r="F90" i="11" s="1"/>
  <c r="F92" i="11" s="1"/>
  <c r="H69" i="11"/>
  <c r="H76" i="11"/>
  <c r="E13" i="2"/>
  <c r="D13" i="2"/>
  <c r="C13" i="2"/>
  <c r="B30" i="11"/>
  <c r="H9" i="2" l="1"/>
  <c r="K9" i="2"/>
  <c r="C15" i="2"/>
  <c r="C17" i="2" s="1"/>
  <c r="C32" i="11"/>
  <c r="C90" i="11" s="1"/>
  <c r="C9" i="11"/>
  <c r="C26" i="11"/>
  <c r="C23" i="11"/>
  <c r="C30" i="11"/>
  <c r="H90" i="11"/>
  <c r="H92" i="11" s="1"/>
  <c r="C17" i="11"/>
  <c r="C13" i="11"/>
  <c r="E9" i="2"/>
  <c r="E15" i="2" s="1"/>
  <c r="E17" i="2" s="1"/>
  <c r="F15" i="2"/>
  <c r="F17" i="2" s="1"/>
  <c r="D9" i="2"/>
  <c r="D15" i="2" s="1"/>
  <c r="D17" i="2" s="1"/>
  <c r="C21" i="11" l="1"/>
  <c r="C31" i="11" s="1"/>
  <c r="C92" i="11" s="1"/>
</calcChain>
</file>

<file path=xl/sharedStrings.xml><?xml version="1.0" encoding="utf-8"?>
<sst xmlns="http://schemas.openxmlformats.org/spreadsheetml/2006/main" count="1554" uniqueCount="714">
  <si>
    <t>Annex D - PBF project budget</t>
  </si>
  <si>
    <t>Outcome/ Output number</t>
  </si>
  <si>
    <t>Outcome/ output/ activity formulation:</t>
  </si>
  <si>
    <t>Indirect support costs (7%):</t>
  </si>
  <si>
    <t>TOTAL PROJECT BUDGET:</t>
  </si>
  <si>
    <t>Any remarks (e.g. on types of inputs provided or budget justification, for example if high TA or travel costs)</t>
  </si>
  <si>
    <t>CATEGORIES</t>
  </si>
  <si>
    <t>TOTAL</t>
  </si>
  <si>
    <t>1. Staff and other personnel</t>
  </si>
  <si>
    <t>2. Supplies, Commodities, Materials</t>
  </si>
  <si>
    <t>3. Equipment, Vehicles, and Furniture (including Depreciation)</t>
  </si>
  <si>
    <t>4. Contractual services</t>
  </si>
  <si>
    <t>5.Travel</t>
  </si>
  <si>
    <t>6. Transfers and Grants to Counterparts</t>
  </si>
  <si>
    <t>7. General Operating and other Direct Costs</t>
  </si>
  <si>
    <t>Sub-Total Project Costs</t>
  </si>
  <si>
    <t>8. Indirect Support Costs (must be 7%)</t>
  </si>
  <si>
    <t>PROJECT TOTAL</t>
  </si>
  <si>
    <t>Note: If this is a budget revision, insert extra columns to show budget changes.</t>
  </si>
  <si>
    <t>Table 2 - PBF project budget by UN cost category</t>
  </si>
  <si>
    <t>Table 1 - PBF project budget by Outcome, output and activity</t>
  </si>
  <si>
    <t>Level of expenditure/ commitments in USD (to provide at time of project progress reporting):</t>
  </si>
  <si>
    <t>Medical fees</t>
  </si>
  <si>
    <t>10 Construction field agents  (service contract for 45 days only)</t>
  </si>
  <si>
    <t xml:space="preserve"> 3 M&amp;E agents </t>
  </si>
  <si>
    <t>Supports Staff Office and Guest (cleaners, gardners - Goma/Beni)</t>
  </si>
  <si>
    <t>Cook Beni</t>
  </si>
  <si>
    <t>Drivers - Goma, Beni, Kin</t>
  </si>
  <si>
    <t>Safety Officer - Beni</t>
  </si>
  <si>
    <t>Logistics Team Leader - Goma</t>
  </si>
  <si>
    <t>Admin Fin Assistant - Goma</t>
  </si>
  <si>
    <t>Logistic Manager</t>
  </si>
  <si>
    <t>Logistic Assistant Beni</t>
  </si>
  <si>
    <t>Logistic Team Leader - Beni</t>
  </si>
  <si>
    <t xml:space="preserve">Admin Assistant SMT (Kin) </t>
  </si>
  <si>
    <t>Admin-HR Officer Base Beni</t>
  </si>
  <si>
    <t>Programme Development and Quality Manager - A15</t>
  </si>
  <si>
    <t>Area Manager Petit Nord Kivu - A14</t>
  </si>
  <si>
    <t>Safety Advisor - A14</t>
  </si>
  <si>
    <t>Area Manager Grand Nord Kivu - A14</t>
  </si>
  <si>
    <t>Head of Support Services - A10</t>
  </si>
  <si>
    <t>Country Director - A8</t>
  </si>
  <si>
    <t xml:space="preserve">TOTAL $ FOR OUTCOME 1: </t>
  </si>
  <si>
    <t>Sub-total</t>
  </si>
  <si>
    <t>Postion Titles</t>
  </si>
  <si>
    <t>Description of Roles</t>
  </si>
  <si>
    <t>Ensures that all programmes are implemented as planned, activities are implemented in line and compliant with sectors strategies, ensuring proper implementation as per DRC, CHS and SPHERE standards - We estimate that the HoP shares time between programme and it is estimated that 12% of her time will be past on this programme.</t>
  </si>
  <si>
    <t xml:space="preserve">Takes the leadership of the project in all aspect. This position is dedicated. </t>
  </si>
  <si>
    <t>Share their time between different projects implemented in the area, supporting both programme and support activties.</t>
  </si>
  <si>
    <t>Oversees all finance activities in the country - it is estimated that he will share 15% of his time on this particular project</t>
  </si>
  <si>
    <t>Supervise all logistic acitvities in Massisi and Nyragongo territory (Fleets, purchase, warehouse) -  shares his time between different projects implemented in the area.</t>
  </si>
  <si>
    <t>Analyses security and safety situation, provides information to the SA and advise the AM Beni. He is also work on access and acceptance with communities and armed groups -  shares his time between different projects implemented in the area.</t>
  </si>
  <si>
    <t>Does all necessary activties to ensure stocks management and compliancy - shares his time between different projects implemented in the area.</t>
  </si>
  <si>
    <t>Shares his time between different projects implemented in the area.</t>
  </si>
  <si>
    <t>Guest House and Offices cleaners, garders for both Béni, Goma and Country Office - shares his time between different projects implemented in the area.</t>
  </si>
  <si>
    <t>Oversees all logistic activities in the country - -  shares his time between different programme, it ihs estimated that he will share 15% of his time on this particular project</t>
  </si>
  <si>
    <t>Ensures fleet mangement and procurement - -  shares his time between different projects implemented in the area.</t>
  </si>
  <si>
    <t>Supervise all logistic acitvities in Beni territory (Fleets, purchase, warehouse) -  shares his time between different projects implemented in the area.</t>
  </si>
  <si>
    <t xml:space="preserve">Support all administrative tasks in regard to Administration and Human Resources. This particular position his dedicated to the Senior Management Team. </t>
  </si>
  <si>
    <t>Support all administrative tasks in regard to Administration and Human Resources -  shares his time between different projects implemented in the area.</t>
  </si>
  <si>
    <t>Leads area activities and create results which impacts the area, enables and oversees the implementation of policies or activities of short-term and operational nature within the area of operation and enables a productive and accountable relationship with beneficiaries, communities’ leaders/representatives, relevant governmental authorities, NGOs, and UN Agencies  as well as represents DRC in some coordination fora, in absence of the Country Director - The Area Manager shares his time between different projects</t>
  </si>
  <si>
    <t xml:space="preserve">Responsible for the development and implementation of the DRC Safety Risk Management System (SRMS), in close cooperation with Senior Management and Safety Focal Points - the SA works in collabortion with the Country Director and Area Manager to ensure proper understanding of the context, minimize risks and worsk on prevention/response of safety incident. The percentage of time his estimate in relation of the complexity and risks of the activities in the area. </t>
  </si>
  <si>
    <t>Leads area activities and create results which impacts the area, enables and oversees the implementation of policies or activities of short-term and operational nature within the area of operation and enables a productive and accountable relationship with beneficiaries, communities’ leaders/representatives, relevant governmental authorities, NGOs, and UN Agencies - The Area Manager shares his time between different projects</t>
  </si>
  <si>
    <t>contributes to leading, coordinating and supporting the design, development and implementation of all PDQM related activities in DRC - It is estimated that the PDQM will share 15% of her time on this particular project.</t>
  </si>
  <si>
    <t>% Contribution to Project</t>
  </si>
  <si>
    <t>Implement qualitative and quantitative monitoring of the projects, including partners project - They will be all dedicated to the project</t>
  </si>
  <si>
    <t xml:space="preserve">Supervise cash for work activities. </t>
  </si>
  <si>
    <t>Livelihoods Coordinator - A14</t>
  </si>
  <si>
    <t>Overall representation with local and national authorities, representation in coordination mechanism to facilitate implementation - the Country Director shares time between programme and it is estimated that 12% of her time will be spent on this programme.</t>
  </si>
  <si>
    <t>Oversees the quality and compliance of all support activities for implementing the programmes - the HoSS shares time between programme and it is estimated that 12% of his time will be spent on this programme.</t>
  </si>
  <si>
    <t>Head of Programmes - A10</t>
  </si>
  <si>
    <t>Peacebuilding Project Manager - A16</t>
  </si>
  <si>
    <t xml:space="preserve">Responsible for developing context sensitive strategies and implementing the relevant project component of DRC's programs in the area and provides technical expertise on program development in all relevant projects - This position is share between project touching this specific sector. It is estimated that the Livelihood Coordinator will be working on 3 projects and will spend 30% of his/her time on this project. </t>
  </si>
  <si>
    <t>Warehouse Assistant - Béni</t>
  </si>
  <si>
    <t xml:space="preserve">Admin Assistant SMT (Kinshasa) </t>
  </si>
  <si>
    <t>Independent Evaluation</t>
  </si>
  <si>
    <t>Specialist Admin RH</t>
  </si>
  <si>
    <t>Specialist Finance</t>
  </si>
  <si>
    <t>Amount Recipient DRC-DDG</t>
  </si>
  <si>
    <t>Tranche 1 (35%)</t>
  </si>
  <si>
    <t>Tranche 2 (35%)</t>
  </si>
  <si>
    <t>Tranche 3 (30%)</t>
  </si>
  <si>
    <t>Output 1.1:</t>
  </si>
  <si>
    <t>OUTCOME 1: Young women and men of Masisi and Beni are integrated into the community democratic dialogue processes and actively participate in the reduction of violence and inter/intracommunity conflicts</t>
  </si>
  <si>
    <t>Activity 1.1.1</t>
  </si>
  <si>
    <t>Activity 1.1.2</t>
  </si>
  <si>
    <t>Activity 1.1.3</t>
  </si>
  <si>
    <t>Output 1.2</t>
  </si>
  <si>
    <t>Activity 1.2.1</t>
  </si>
  <si>
    <t>Activity 1.2.2</t>
  </si>
  <si>
    <t>Activity 1.2.3</t>
  </si>
  <si>
    <t>Output 1.3</t>
  </si>
  <si>
    <t>Activity 1.3.1</t>
  </si>
  <si>
    <t>Activity 1.3.2</t>
  </si>
  <si>
    <t>Activity 1.3.3</t>
  </si>
  <si>
    <t>OUTCOME 2:Young women and men understand their economic and professional environments and are capable of identifying opportunities</t>
  </si>
  <si>
    <t>Output 2.1</t>
  </si>
  <si>
    <t>Activity 2.1.1</t>
  </si>
  <si>
    <t>Activity 2.1.2</t>
  </si>
  <si>
    <t>Output 2.2</t>
  </si>
  <si>
    <t>Activity 2.2.1</t>
  </si>
  <si>
    <t>Activity 2.2.2</t>
  </si>
  <si>
    <t>Activity 2.2.3</t>
  </si>
  <si>
    <t>Budget DRC-DDG in USD $</t>
  </si>
  <si>
    <t>Young women and men are engaged within their community and intergenerational and intercommunity trust is established and/or reinforced</t>
  </si>
  <si>
    <t>Establish a community democratic dialogue process that is inclusive of young women and men to discuss the role of youth in community governance and peacebuilding</t>
  </si>
  <si>
    <t>Raise community awareness on human and womens’ rights</t>
  </si>
  <si>
    <t>Revitalise and/or rehabilitate youth centres and/or community cultural centres to enable young women and men to benefit from a safe space for collaboration, debate, recreational and artistic activities</t>
  </si>
  <si>
    <t>Young women and men actively participate in the management, mediation and prevention of intra- and intercommunity conflicts</t>
  </si>
  <si>
    <t xml:space="preserve"> Train YPCs in civic education, non-violent communication, peaceful conflict resolution and management techniques</t>
  </si>
  <si>
    <t>Organise community forums on the themes of gender roles, women’s empowerment and “positive masculinity” in connection to violence and conflict reduction</t>
  </si>
  <si>
    <t>Support YPCs in dispensing training on peaceful conflict resolution and management techniques in schools of target locations</t>
  </si>
  <si>
    <t>Young women and men fight against discourses of hate, and are able to critically analyse public political messages, and work together to advocate for violence prevention and reduction</t>
  </si>
  <si>
    <t>Provide the tools and enhance young women and men’s capacity to critically analyse political and media messages conveying violence and/or racial or gender-based stigma and encourage YPC-YPC to undertake monthly collaborative analysis through meetings</t>
  </si>
  <si>
    <t>Provide training to young women and men on communication and advocacy techniques to promote positive peace messages and convey their priorities and demands at community, local and provincial levels</t>
  </si>
  <si>
    <t>Broadcast through Pole FM YPC interventions (sensitization messages, debates etc.) on youth’s key role in peacebuilding, reconciliation and their involvement in the management of conflicts in their communities</t>
  </si>
  <si>
    <t>Young women and men understand their economic and professional environments and are capable of identifying opportunities</t>
  </si>
  <si>
    <t>Conduct labour market assessments in Masisi and Beni</t>
  </si>
  <si>
    <t>Support young women and men in identifying areas of pertinent professional interest and assist in formulating individualised plans for economic resilience</t>
  </si>
  <si>
    <t>Members of the YPCs implement their professional and/or training plans</t>
  </si>
  <si>
    <t>Support YPC members in the elaboration of their “economic resilience and empowerment” action plans</t>
  </si>
  <si>
    <t>Assist in the organization of mutual aid and/or networking sessions through working groups and skills-sharing sessions</t>
  </si>
  <si>
    <t>Support YPC members in the implementation of their “economic resilience and empowerment” action plans through training activities, mentorship and apprenticeship opportunities</t>
  </si>
  <si>
    <t xml:space="preserve">TOTAL $ FOR OUTCOME 2: </t>
  </si>
  <si>
    <t>TOTAL FOR ACTIVITIES</t>
  </si>
  <si>
    <t>Percent of budget for each output reserved for direct action on gender equality (if any):</t>
  </si>
  <si>
    <t>M&amp;E budget</t>
  </si>
  <si>
    <t>Country Director</t>
  </si>
  <si>
    <t>Head of Support Services</t>
  </si>
  <si>
    <t>Safety Advisor</t>
  </si>
  <si>
    <t>Logistician</t>
  </si>
  <si>
    <t>Baseline Assessment</t>
  </si>
  <si>
    <t>Endline Evaluation</t>
  </si>
  <si>
    <t>Financial Audit</t>
  </si>
  <si>
    <t>Project operational costs</t>
  </si>
  <si>
    <t>Project personnel costs</t>
  </si>
  <si>
    <t>Bank fees</t>
  </si>
  <si>
    <t>Legal fees</t>
  </si>
  <si>
    <t>IT (software, internet, computers)</t>
  </si>
  <si>
    <t>Telecommunications (phone, satellite, radio)</t>
  </si>
  <si>
    <t>Rent (offices, sub-offices, guesthouse)</t>
  </si>
  <si>
    <t>Private security (guards)</t>
  </si>
  <si>
    <t>Area Manager Grand Nord Kivu (GNK)</t>
  </si>
  <si>
    <t>Area Manager Petit Nord Kivu (PNK)</t>
  </si>
  <si>
    <t>Deputy  Director - RO</t>
  </si>
  <si>
    <t>Security Advisor - RO</t>
  </si>
  <si>
    <t>Admin/HR Team Leader Base (Beni)</t>
  </si>
  <si>
    <t>Logistics Team Leader (Beni)</t>
  </si>
  <si>
    <t>Logistics Assistant (Beni)</t>
  </si>
  <si>
    <t>Logistics Specialist CO</t>
  </si>
  <si>
    <t>Admin/Finance Assistant (Goma)</t>
  </si>
  <si>
    <t>Logistics Team Leader (Goma)</t>
  </si>
  <si>
    <t>Safety Officer (Beni)</t>
  </si>
  <si>
    <t>Warehouse Assitant (Beni)</t>
  </si>
  <si>
    <t>Drivers (Goma, Beni, Kinshasa)</t>
  </si>
  <si>
    <t>Cook (Beni)</t>
  </si>
  <si>
    <t>Grants Manager RO</t>
  </si>
  <si>
    <t>Monitoring, Evaluation, Learning and Communications Coordinator RO</t>
  </si>
  <si>
    <t>Deputy Head of Support Services RO</t>
  </si>
  <si>
    <t>DRC-DDG</t>
  </si>
  <si>
    <t>Pole Institute</t>
  </si>
  <si>
    <t>Support Staff for Office and Guesthouse (cleaners, gardners - Goma/Beni)</t>
  </si>
  <si>
    <t>Directeur</t>
  </si>
  <si>
    <t>Chargé des Finances</t>
  </si>
  <si>
    <t>Assistant Finances</t>
  </si>
  <si>
    <t>ASP</t>
  </si>
  <si>
    <t>SOFEPADI</t>
  </si>
  <si>
    <t>Secrétaire Exécutif (Directeur ASP)</t>
  </si>
  <si>
    <t>Administrateur Finances</t>
  </si>
  <si>
    <t>Coordinatrice</t>
  </si>
  <si>
    <t>Comptable</t>
  </si>
  <si>
    <t>Caissière</t>
  </si>
  <si>
    <t>Frais Médicaux</t>
  </si>
  <si>
    <t>M&amp;E Outils de Collecte de Données</t>
  </si>
  <si>
    <t>DRC-DDG UNPBF Assistant MEAL</t>
  </si>
  <si>
    <t>Beneficiary targeting process</t>
  </si>
  <si>
    <t>n/a</t>
  </si>
  <si>
    <t>Budget change % variation (within the 15% margin stipulated in the guidelines)</t>
  </si>
  <si>
    <t>Project presentation and accountability towards beneficaries and communities</t>
  </si>
  <si>
    <t>Budget changes
(Note to File - 
15 Nov 2019)</t>
  </si>
  <si>
    <t xml:space="preserve">Estimated expenditures (01 Jan-15 Nov 2019)
</t>
  </si>
  <si>
    <t xml:space="preserve">Contractual budget </t>
  </si>
  <si>
    <t>Les montants ci-contre sont inclus à titre indicatifs de l'état des dépenses établies par les données financières disponibles jusqu'en date du rapport de progrès du 15 Novembre 2019, et ayant été précédemment sur la même ligne budgétaire (c.f. version contractuelle pour référence), la désagrégation des dépenses, et consolidation de certains coûts est encore en cours d'affinage.</t>
  </si>
  <si>
    <t>DRC-DDG Chef d'Equipe MEAL</t>
  </si>
  <si>
    <t>DRC-DDG Spécialiste Redevabilité CoC &amp; CHS</t>
  </si>
  <si>
    <t>DRC-DDG UNPBF Stagiaire MEAL</t>
  </si>
  <si>
    <t>Pole Institute Chargé MEAL</t>
  </si>
  <si>
    <t>ASP Chargé MEAL</t>
  </si>
  <si>
    <t>Budget changes
(15 June 2019)</t>
  </si>
  <si>
    <t>Budget changes
(15 November 2019)</t>
  </si>
  <si>
    <t>Afin d'appuyer l'Assistant MEAL UNPBF de DRC-DDG dans le suivi des activités du projet, et particulièrement au niveau de la saisie des données des partenaires, il est prévu qu'un/e stagiaire soit recruté/e. Les fonds pour ce poste sont pris de la ligne budgétaire (catégorie de coût 1) relative au poste de Chargé Finance &amp; Logistique, étant donné que le recrutement de ce dernier avait été retardé de plusieurs mois. L'attribution du montant de ce stage au chapitre MEAL (catégorie de coût 7) du budget n'impacte pas sur l'ensemble du budget, et créé une variation de moins de -1% du budget de la catégorie de coût initiale (c.f. feuille "Cost category" de cet Annexe Financier). Le salaire brut total prévu pour ce poste est d'un montant total de 2800$.</t>
  </si>
  <si>
    <t>Loyers des bureaux et guesthouse de tous les partenaires incluant les services d'eau et d'électricité pour ces locaux.</t>
  </si>
  <si>
    <t>Frais bancaires liés aux transferts et gestion de comptes de tous les partenaires.</t>
  </si>
  <si>
    <t>45.2% des participants femmes</t>
  </si>
  <si>
    <t>46.4% de participants femmes</t>
  </si>
  <si>
    <t>Compte tenu des catégories fixes du format présent, les coûts ont été ventilés en fonction des activités en cours d'implémentation  (coûts activités + coûts programmatiques globaux + coûts support globaux) et celles actuellement en phase préparatoire (coûts programmatiques globaux + coûts support globaux) - telles que détaillées dans les sections narratives du deuxième rapport de progrès annuel (15 Novembre 2019)
 Les coûts mentionnés dans la feuille "Cost category" offre une vision plus précise des dépenses et engagements en cours pour la période de Janvier à Novembre 2019.</t>
  </si>
  <si>
    <t>Budget revision 1</t>
  </si>
  <si>
    <t>Budget revision 2</t>
  </si>
  <si>
    <t>Budget changes</t>
  </si>
  <si>
    <t>ONG</t>
  </si>
  <si>
    <t>Type</t>
  </si>
  <si>
    <t>Ligne</t>
  </si>
  <si>
    <t>Dynamics</t>
  </si>
  <si>
    <t>CC</t>
  </si>
  <si>
    <t>Detail</t>
  </si>
  <si>
    <t>R.1.1</t>
  </si>
  <si>
    <t>Les jeunes femmes et hommes de Masisi et Beni sont intégrés au processus du dialogue démocratique de leur communauté et participent activement à la réduction de violence et des conflits inter/intracommunautaire</t>
  </si>
  <si>
    <t>Act. 1.1.1</t>
  </si>
  <si>
    <t>Etablir le processus de dialogue démocratique communautaire qui est inclusive des jeunes femmes et hommes afin de discuter le rôle des jeunes dans la gouvernance communautaire et dans la consolidation de la paix</t>
  </si>
  <si>
    <t>P</t>
  </si>
  <si>
    <t>ASP 01</t>
  </si>
  <si>
    <t>COD-005107</t>
  </si>
  <si>
    <t>Collations pour les participants des séances communautaires de DD</t>
  </si>
  <si>
    <t>ASP 02</t>
  </si>
  <si>
    <t>Matériel pour les séances communautaires de DD</t>
  </si>
  <si>
    <t>ASP 03</t>
  </si>
  <si>
    <t>COD-005109</t>
  </si>
  <si>
    <t>Location des salles pour les séances communautaires de DD</t>
  </si>
  <si>
    <t>ASP 04</t>
  </si>
  <si>
    <t>Matériel de visibilité pour les membres de 4 YPC</t>
  </si>
  <si>
    <t>SOF 01</t>
  </si>
  <si>
    <t>COD-005115</t>
  </si>
  <si>
    <t>SOF 02</t>
  </si>
  <si>
    <t>SOF 03</t>
  </si>
  <si>
    <t>COD-005117</t>
  </si>
  <si>
    <t>SOF 04</t>
  </si>
  <si>
    <t>Matériel de visibilité pour les membres de 2 YPC</t>
  </si>
  <si>
    <t>Pole</t>
  </si>
  <si>
    <t>Pole 01</t>
  </si>
  <si>
    <t>COD-005100</t>
  </si>
  <si>
    <t>Coûts de transport pour le personnel de Pole déployé à Beni et Masisi</t>
  </si>
  <si>
    <t>Pole 02</t>
  </si>
  <si>
    <t>COD-005102</t>
  </si>
  <si>
    <t>Per diems du personnel de Pole déployé à Beni et Masisi</t>
  </si>
  <si>
    <t>DDG</t>
  </si>
  <si>
    <t>DDG 01</t>
  </si>
  <si>
    <t>COD-005092</t>
  </si>
  <si>
    <t>Coûts de transport pour le personnel de DRC-DDG déployé à Beni et Masisi</t>
  </si>
  <si>
    <t>DDG 02</t>
  </si>
  <si>
    <t>COD-005094</t>
  </si>
  <si>
    <t>Per diems du personnel de DRC-DDG déployé à Beni et Masisi</t>
  </si>
  <si>
    <t>Act. 1.1.2</t>
  </si>
  <si>
    <t>Sensibiliser les communautés aux droits de l'homme et des femmes</t>
  </si>
  <si>
    <t>ASP 05</t>
  </si>
  <si>
    <t>Collations pour les participants aux séances de sensibilisation</t>
  </si>
  <si>
    <t>ASP 06</t>
  </si>
  <si>
    <t>Matériel pour les séances de sensibilisation</t>
  </si>
  <si>
    <t>ASP 07</t>
  </si>
  <si>
    <t>Location des salles pour les séances de sensibilisation</t>
  </si>
  <si>
    <t>SOF 05</t>
  </si>
  <si>
    <t>SOF 06</t>
  </si>
  <si>
    <t>SOF 07</t>
  </si>
  <si>
    <t>Pole 03</t>
  </si>
  <si>
    <t>Pole 04</t>
  </si>
  <si>
    <t>DDG 03</t>
  </si>
  <si>
    <t>DDG 04</t>
  </si>
  <si>
    <t>Act. 1.1.3</t>
  </si>
  <si>
    <t>Revivifier et/ou réhabiliter les centres de jeunes et les centres communautaires pour permettre aux jeunes femmes et hommes de bénéficier d'un espace sécurisé pour la collaboration, le débat et les activités récréatives et artistiques</t>
  </si>
  <si>
    <t>DDG 05</t>
  </si>
  <si>
    <t>COD-005096</t>
  </si>
  <si>
    <t>Réhabilitation et équipement des centres communautaires et de jeunes dans le Masisi et Beni</t>
  </si>
  <si>
    <t>DDG 06</t>
  </si>
  <si>
    <t>Infrastructure WASH dans les centres communautaires et de jeunes dans le Masisi et Beni</t>
  </si>
  <si>
    <t>DDG 07</t>
  </si>
  <si>
    <t>Loyer des hangars pour le stockage du matériel de construction pour Masisi et Beni</t>
  </si>
  <si>
    <t>DDG 08</t>
  </si>
  <si>
    <t>Camions pour la livraison du matériel de construction dans le Masisi et Beni</t>
  </si>
  <si>
    <t>DDG 09</t>
  </si>
  <si>
    <t>COD-005091</t>
  </si>
  <si>
    <t>Collations pour les formations des YPC et non-YPC à la construction collaborative</t>
  </si>
  <si>
    <t>DDG 10</t>
  </si>
  <si>
    <t>Cash-for-work (2/3rds of YPC members, i.e. 18 + years old : approx. 20 members of each YPC)</t>
  </si>
  <si>
    <t>DDG 111</t>
  </si>
  <si>
    <t>Contributions aux aides communautaires</t>
  </si>
  <si>
    <t>DDG 112</t>
  </si>
  <si>
    <t>Boîte à outils de construction (dotation pour le centre)</t>
  </si>
  <si>
    <t>DDG 113</t>
  </si>
  <si>
    <t>Assistant de construction (charpentier &amp; maçon)</t>
  </si>
  <si>
    <t>DDG 11</t>
  </si>
  <si>
    <t>DDG 12</t>
  </si>
  <si>
    <t>R.1.2</t>
  </si>
  <si>
    <t>Les jeunes femmes et hommes participent activement dans la gestion, médiation et prévention des clonflits intra et intercommunautaire</t>
  </si>
  <si>
    <t>Act. 1.2.1</t>
  </si>
  <si>
    <t>Former les CPJ en éducation civique, communication non-violente, et techniques de la gestion et résolution pacifique de conflits</t>
  </si>
  <si>
    <t>ASP 08</t>
  </si>
  <si>
    <t>Collations pour les participants aux formation</t>
  </si>
  <si>
    <t>ASP 09</t>
  </si>
  <si>
    <t>Matériel pour les formations</t>
  </si>
  <si>
    <t>SOF 08</t>
  </si>
  <si>
    <t>SOF 09</t>
  </si>
  <si>
    <t>Pole 05</t>
  </si>
  <si>
    <t>Pole 06</t>
  </si>
  <si>
    <t>DDG 13</t>
  </si>
  <si>
    <t>DDG 14</t>
  </si>
  <si>
    <t>Act. 1.2.2</t>
  </si>
  <si>
    <t>Organiser des forums communautaires sur les thèmes des rôles du genre, l'autonomisation des femmes et la "masculinité positive" par rapport à la réduction de violence et de conflits</t>
  </si>
  <si>
    <t>ASP 10</t>
  </si>
  <si>
    <t>Collations pour les participants aux forums thématiques</t>
  </si>
  <si>
    <t>ASP 11</t>
  </si>
  <si>
    <t>Matériel pour les forums thématiques</t>
  </si>
  <si>
    <t>SOF 10</t>
  </si>
  <si>
    <t>SOF 11</t>
  </si>
  <si>
    <t>Pole 07</t>
  </si>
  <si>
    <t>Pole 08</t>
  </si>
  <si>
    <t>DDG 15</t>
  </si>
  <si>
    <t>DDG 16</t>
  </si>
  <si>
    <t>Act. 1.2.3</t>
  </si>
  <si>
    <t>Soutenir les CPJ en dispensant la formation et les techniques de la gestion et la résolution pacifique de conflits dans les écoles les endroits ciblés</t>
  </si>
  <si>
    <t>ASP 12</t>
  </si>
  <si>
    <t>Collations pour les participants aux formations en milieu scolaire</t>
  </si>
  <si>
    <t>ASP 13</t>
  </si>
  <si>
    <t>Matériel de formation YPC-écoles</t>
  </si>
  <si>
    <t>ASP 14</t>
  </si>
  <si>
    <t>Incentive de formation pour les membres des YPC</t>
  </si>
  <si>
    <t>SOF 12</t>
  </si>
  <si>
    <t>SOF 13</t>
  </si>
  <si>
    <t>SOF 14</t>
  </si>
  <si>
    <t>DDG 17</t>
  </si>
  <si>
    <t>DDG 18</t>
  </si>
  <si>
    <t>R.1.3</t>
  </si>
  <si>
    <t>Les jeunes femmes et hommes sont outillés pour lutter contre les discours de haine, en acquérant la capacité d'analyser de façon critique des messages politiques publiques, et en travaillant ensemble pour plaider en faveur de la prévention et la réduction de violence</t>
  </si>
  <si>
    <t>Act. 1.3.1</t>
  </si>
  <si>
    <t>Renforcement des capacitiés à travers la formation aux outils (tel que l'analyse de contexte et l'analyse d'acteurs) afin de développer la capacité des jeunes femmes et hommes d'analyser de façon critique des messages politiques et médiatiques qui transmettent la violence raciale ou basée sur le genre aussi bien qu'encourager les CPJ à entreprendre l'analyse mensuelle collaborative à travers les réunions</t>
  </si>
  <si>
    <t>Pole 09</t>
  </si>
  <si>
    <t>COD-005099</t>
  </si>
  <si>
    <t>Matériel de formation pour les YPC en analyse politique &amp; médiatique</t>
  </si>
  <si>
    <t>Pole 10</t>
  </si>
  <si>
    <t>Collations pour les participants à Béni</t>
  </si>
  <si>
    <t>Pole 11</t>
  </si>
  <si>
    <t>Collations pour les participants à Masisi</t>
  </si>
  <si>
    <t>Pole 12</t>
  </si>
  <si>
    <t>Incentive de collaboration de YPC à YPC à Béni</t>
  </si>
  <si>
    <t>Pole 13</t>
  </si>
  <si>
    <t>Incentive de collaboration de YPC à YPC dans le Masisi</t>
  </si>
  <si>
    <t>Pole 14</t>
  </si>
  <si>
    <t>Pole 15</t>
  </si>
  <si>
    <t>DDG 19</t>
  </si>
  <si>
    <t>DDG 20</t>
  </si>
  <si>
    <t>Act. 1.3.2</t>
  </si>
  <si>
    <t>Fournir la formation aux jeunes femmes et hommes en communication et en techniques de plaidoyer afin de promouvoir des messages positifs de la paix et de transmettre leurs priorités et demandes aux niveaux communautaire, local et provincial</t>
  </si>
  <si>
    <t>Pole 16</t>
  </si>
  <si>
    <t>Matériel de formation en techniques de communication &amp; de plaidoyer</t>
  </si>
  <si>
    <t>Pole 17</t>
  </si>
  <si>
    <t>Collations pour les participants à Beni</t>
  </si>
  <si>
    <t>Pole 18</t>
  </si>
  <si>
    <t>Pole 19</t>
  </si>
  <si>
    <t>Collations pour les participants YPC et non-YPC aux ateliers à Beni</t>
  </si>
  <si>
    <t>Pole 20</t>
  </si>
  <si>
    <t>Collations pour les participants YPC et non-YPC aux ateliers à Masisi</t>
  </si>
  <si>
    <t>Pole 21</t>
  </si>
  <si>
    <t>Pole 22</t>
  </si>
  <si>
    <t>DDG 21</t>
  </si>
  <si>
    <t>DDG 22</t>
  </si>
  <si>
    <t>Act. 1.3.3</t>
  </si>
  <si>
    <t>Radiodiffuser à travers Pole FM les interventions des CPJ (messages de la sensibilisation, débats etc.) sur le rôle clé des jeunes dans la consolidation de la paix, la réconcoliation et leur participation dans la gestion de conflits dans leurs communautés</t>
  </si>
  <si>
    <t>Pole 23</t>
  </si>
  <si>
    <t>COD-005104</t>
  </si>
  <si>
    <t>Diffusion de table ronde YPC</t>
  </si>
  <si>
    <t>Pole 24</t>
  </si>
  <si>
    <t>Collations &amp; frais de transport pour les participants des YPC</t>
  </si>
  <si>
    <t>Pole 25</t>
  </si>
  <si>
    <t>Diffusion de débat YPC-représentants politiques locaux/provinciaux</t>
  </si>
  <si>
    <t>Pole 26</t>
  </si>
  <si>
    <t>Pole 27</t>
  </si>
  <si>
    <t>Diffusion de 24 messages de sensibilisation créés par les YPC</t>
  </si>
  <si>
    <t>Pole 28</t>
  </si>
  <si>
    <t>Diffusion d'émissions de radio communautaires</t>
  </si>
  <si>
    <t>Pole 29</t>
  </si>
  <si>
    <t>1 émission thématique diffusée pour les YPC Beni</t>
  </si>
  <si>
    <t>Pole 30</t>
  </si>
  <si>
    <t>1 émission thématique diffusée pour les YPC Masisi</t>
  </si>
  <si>
    <t>Pole 31</t>
  </si>
  <si>
    <t>Emissions hebdomadaires de Pole FM</t>
  </si>
  <si>
    <t>Pole 32</t>
  </si>
  <si>
    <t>Emissions publiques de Pole FM</t>
  </si>
  <si>
    <t>Pole 33</t>
  </si>
  <si>
    <t>Organisation of popular expression platforms</t>
  </si>
  <si>
    <t>Pole 34</t>
  </si>
  <si>
    <t>Material and equipment for the Pole FM radio station</t>
  </si>
  <si>
    <t>Pole 35</t>
  </si>
  <si>
    <t>Pole 36</t>
  </si>
  <si>
    <t>DDG 23</t>
  </si>
  <si>
    <t>DDG 24</t>
  </si>
  <si>
    <t>R.2.1</t>
  </si>
  <si>
    <t>Les jeunes femmes et hommes (ciblés) comprennent leur environnement économique et professionnel et sont capable d'identifier les opportunités</t>
  </si>
  <si>
    <t>Act. 2.1.1</t>
  </si>
  <si>
    <t>Mener des évaluations de marché du travail de manière participative avec les jeunes et les membres des communautés à Beni et dans le Masisi</t>
  </si>
  <si>
    <t>DDG 25</t>
  </si>
  <si>
    <t>Evaluation des marches</t>
  </si>
  <si>
    <t>DDG 26</t>
  </si>
  <si>
    <t>Matériel pour les ateliers sur les marchés et moyens de subsistance</t>
  </si>
  <si>
    <t>DDG 27</t>
  </si>
  <si>
    <t>Collations pour les ateliers sur les marchés et moyens de subsistance pour les YPC et non-YPC</t>
  </si>
  <si>
    <t>DDG 28</t>
  </si>
  <si>
    <t>DDG 29</t>
  </si>
  <si>
    <t>Act. 2.1.2</t>
  </si>
  <si>
    <t>Les jeunes ciblés (CPJ et non-CPJ) remettent en œuvre leurs plans professionnels et/ou de formation</t>
  </si>
  <si>
    <t>DDG 30</t>
  </si>
  <si>
    <t>Frais de coaching individuel à Beni pour les YPC et non-YPC</t>
  </si>
  <si>
    <t>DDG 31</t>
  </si>
  <si>
    <t>Frais de coaching individuel dans le Masisi pour les YPC et non-YPC</t>
  </si>
  <si>
    <t>DDG 32</t>
  </si>
  <si>
    <t>DDG 33</t>
  </si>
  <si>
    <t>R.2.2</t>
  </si>
  <si>
    <t>Act. 2.2.1</t>
  </si>
  <si>
    <t>Soutien individuel aux jeunes dans l'élaboration de leurs plans individualisés de "résilience économique et autonomisation"</t>
  </si>
  <si>
    <t>DDG 34</t>
  </si>
  <si>
    <t>DDG 35</t>
  </si>
  <si>
    <t>Act. 2.2.2</t>
  </si>
  <si>
    <t>Aider dans l'organisation d'aide mutuelle et/ou établir des sessions de réseautage à travers les groupes de travail et de partage de compétences</t>
  </si>
  <si>
    <t>Pole 37</t>
  </si>
  <si>
    <t>Incentive YPC (collation &amp; frais de transport) à Beni</t>
  </si>
  <si>
    <t>Pole 38</t>
  </si>
  <si>
    <t>Incentive YPC (collation &amp; frais de transport) à Masisi</t>
  </si>
  <si>
    <t>Pole 39</t>
  </si>
  <si>
    <t>Réseautage/mentorat (facilitation, collations, frais de transport etc.) à Beni</t>
  </si>
  <si>
    <t>Pole 40</t>
  </si>
  <si>
    <t>Réseautage/mentorat (facilitation, collations, frais de transport etc.) à Masisi</t>
  </si>
  <si>
    <t>Pole 41</t>
  </si>
  <si>
    <t>Pole 42</t>
  </si>
  <si>
    <t>DDG 36</t>
  </si>
  <si>
    <t>DDG 37</t>
  </si>
  <si>
    <t>Act. 2.2.3</t>
  </si>
  <si>
    <t>Soutenir les jeunes dans la mise en œuvre de leurs plans d'action de la "résilience économique et autonomisation" à travers le mentorat, l'apprentissage, les opportunités de formation et les kits de démarrage</t>
  </si>
  <si>
    <t>Pole 43</t>
  </si>
  <si>
    <t>Kits "start-up" moyens de subsistance</t>
  </si>
  <si>
    <t>Pole 44</t>
  </si>
  <si>
    <t>Pole 45</t>
  </si>
  <si>
    <t>DDG 38</t>
  </si>
  <si>
    <t>DDG 388</t>
  </si>
  <si>
    <t>MEAL</t>
  </si>
  <si>
    <t>DDG 39</t>
  </si>
  <si>
    <t>Audit Externe (financière)</t>
  </si>
  <si>
    <t>DDG 40</t>
  </si>
  <si>
    <t>Evaluation indépendante (impact du projet)</t>
  </si>
  <si>
    <t>DDG 41</t>
  </si>
  <si>
    <t>Diagnostic de base du projet (baseline survey)</t>
  </si>
  <si>
    <t>DDG 42</t>
  </si>
  <si>
    <t>Evaluation de fin de projet (endline survey)</t>
  </si>
  <si>
    <t>DDG 43</t>
  </si>
  <si>
    <t>Personnel programme</t>
  </si>
  <si>
    <r>
      <rPr>
        <b/>
        <sz val="11"/>
        <color theme="1"/>
        <rFont val="Calibri"/>
        <family val="2"/>
        <scheme val="minor"/>
      </rPr>
      <t>DRC-DDG</t>
    </r>
    <r>
      <rPr>
        <sz val="11"/>
        <color theme="1"/>
        <rFont val="Calibri"/>
        <family val="2"/>
        <scheme val="minor"/>
      </rPr>
      <t xml:space="preserve"> - personnel programme (expatrié)</t>
    </r>
  </si>
  <si>
    <t>DDG 44</t>
  </si>
  <si>
    <t>COD-005090</t>
  </si>
  <si>
    <t>DRC/DDG UN PBF Cheffe de Projet</t>
  </si>
  <si>
    <t>DDG 45</t>
  </si>
  <si>
    <t>DRC/DDG Coordinateur en Moyens de Subsistance</t>
  </si>
  <si>
    <t>DDG 46</t>
  </si>
  <si>
    <t>DRC Responsable des Programmes</t>
  </si>
  <si>
    <t>DDG 47</t>
  </si>
  <si>
    <t>DRC Chargée de Gestion des Subventions</t>
  </si>
  <si>
    <r>
      <rPr>
        <b/>
        <sz val="11"/>
        <color theme="1"/>
        <rFont val="Calibri"/>
        <family val="2"/>
        <scheme val="minor"/>
      </rPr>
      <t>DRC-DDG</t>
    </r>
    <r>
      <rPr>
        <sz val="11"/>
        <color theme="1"/>
        <rFont val="Calibri"/>
        <family val="2"/>
        <scheme val="minor"/>
      </rPr>
      <t xml:space="preserve"> - personnel programme (national)</t>
    </r>
  </si>
  <si>
    <t>DDG 48</t>
  </si>
  <si>
    <t>DRC-DDG Chef d'Equipe Consolidation de la Paix</t>
  </si>
  <si>
    <t>DDG 49</t>
  </si>
  <si>
    <t>DRC-DDG Agent Terrain Moyens de Subsistance</t>
  </si>
  <si>
    <t>DDG 50</t>
  </si>
  <si>
    <t>DRC-DDG Agent Terrain de Construction</t>
  </si>
  <si>
    <t>DDG 51</t>
  </si>
  <si>
    <t>DRC Chef d'Equipe MEAL</t>
  </si>
  <si>
    <t>DDG 52</t>
  </si>
  <si>
    <t>DRC-DDG UN PBF Assistant MEAL</t>
  </si>
  <si>
    <t>DDG 53</t>
  </si>
  <si>
    <t>DRC Spécialiste Redevabilité CHS &amp; CoC</t>
  </si>
  <si>
    <t>DDG 54</t>
  </si>
  <si>
    <t>DRC Chauffeur</t>
  </si>
  <si>
    <t>DDG 55</t>
  </si>
  <si>
    <t>DRC Chargé Finances &amp; Logistique</t>
  </si>
  <si>
    <t>DDG 109</t>
  </si>
  <si>
    <t>DRC-DDG Stagiaire Logistique Chaîne d'Appro</t>
  </si>
  <si>
    <t>DDG 110</t>
  </si>
  <si>
    <t>DRC-DDG Stagiare MEAL</t>
  </si>
  <si>
    <r>
      <rPr>
        <b/>
        <sz val="11"/>
        <color theme="1"/>
        <rFont val="Calibri"/>
        <family val="2"/>
        <scheme val="minor"/>
      </rPr>
      <t xml:space="preserve">Pole Institute - </t>
    </r>
    <r>
      <rPr>
        <sz val="11"/>
        <color theme="1"/>
        <rFont val="Calibri"/>
        <family val="2"/>
        <scheme val="minor"/>
      </rPr>
      <t>personnel programme</t>
    </r>
  </si>
  <si>
    <t>Pole 46</t>
  </si>
  <si>
    <t>COD-005098</t>
  </si>
  <si>
    <t>Chef de Projet Consolidation de la Paix</t>
  </si>
  <si>
    <t>Pole 47</t>
  </si>
  <si>
    <t>Responsable de Capacitation (youth support worker)</t>
  </si>
  <si>
    <t>Pole 48</t>
  </si>
  <si>
    <t>Chargé MEAL</t>
  </si>
  <si>
    <t>Pole 49</t>
  </si>
  <si>
    <t>Animateurs auprès des jeuens (Youth Support Workers field agents)</t>
  </si>
  <si>
    <r>
      <rPr>
        <b/>
        <sz val="11"/>
        <color theme="1"/>
        <rFont val="Calibri"/>
        <family val="2"/>
        <scheme val="minor"/>
      </rPr>
      <t>ASP</t>
    </r>
    <r>
      <rPr>
        <sz val="11"/>
        <color theme="1"/>
        <rFont val="Calibri"/>
        <family val="2"/>
        <scheme val="minor"/>
      </rPr>
      <t xml:space="preserve"> - personnel programme</t>
    </r>
  </si>
  <si>
    <t>ASP 15</t>
  </si>
  <si>
    <t>COD-005106</t>
  </si>
  <si>
    <t>Chef de Projet UN PBF</t>
  </si>
  <si>
    <t>ASP 16</t>
  </si>
  <si>
    <t>Animateurs</t>
  </si>
  <si>
    <t>ASP 17</t>
  </si>
  <si>
    <t>Mobilisateurs terrain (Youth Support Workers)</t>
  </si>
  <si>
    <r>
      <rPr>
        <b/>
        <sz val="11"/>
        <color theme="1"/>
        <rFont val="Calibri"/>
        <family val="2"/>
        <scheme val="minor"/>
      </rPr>
      <t>SOFEPADI</t>
    </r>
    <r>
      <rPr>
        <sz val="11"/>
        <color theme="1"/>
        <rFont val="Calibri"/>
        <family val="2"/>
        <scheme val="minor"/>
      </rPr>
      <t xml:space="preserve"> - personnel programme</t>
    </r>
  </si>
  <si>
    <t>SOF 15</t>
  </si>
  <si>
    <t>COD-005114</t>
  </si>
  <si>
    <t>Cheffe du Projet</t>
  </si>
  <si>
    <t>SOF 16</t>
  </si>
  <si>
    <t>Animatrice</t>
  </si>
  <si>
    <t>SOF 17</t>
  </si>
  <si>
    <t>Supplies, Commodities, Materials (Fournitures, Matériel)</t>
  </si>
  <si>
    <t>S</t>
  </si>
  <si>
    <t>DDG 56</t>
  </si>
  <si>
    <t>Fournitures et équipement - Beni</t>
  </si>
  <si>
    <t>DDG 57</t>
  </si>
  <si>
    <t>Fournitures et équipement - Goma</t>
  </si>
  <si>
    <t>DDG 58</t>
  </si>
  <si>
    <t>Coûts du générateur (essence, maintenance) - Beni</t>
  </si>
  <si>
    <t>DDG 59</t>
  </si>
  <si>
    <t>Coûts du générateur (essence, maintenance) - Goma</t>
  </si>
  <si>
    <t>DDG 60</t>
  </si>
  <si>
    <t>Fournitures de bureau et matériaux - RO Nairobi</t>
  </si>
  <si>
    <t>Pole 50</t>
  </si>
  <si>
    <t>Matériel de bureau</t>
  </si>
  <si>
    <t>ASP 18</t>
  </si>
  <si>
    <t>Matériel de bureau (papier, stylos etc.)</t>
  </si>
  <si>
    <t>SOF 18</t>
  </si>
  <si>
    <t>SOF 19</t>
  </si>
  <si>
    <t>Cartouche imprimante</t>
  </si>
  <si>
    <t>Equipment, Vehicles, and Furniture including Depreciation (Equipement, véhicules, mobilier incluant dépréciation)</t>
  </si>
  <si>
    <t>DDG 61</t>
  </si>
  <si>
    <t>Ordinateur portable (laptop)</t>
  </si>
  <si>
    <t>DDG 62</t>
  </si>
  <si>
    <t>Imprimante</t>
  </si>
  <si>
    <t>DDG 63</t>
  </si>
  <si>
    <t>Equipement de Communication (radios, Thuraya etc.)</t>
  </si>
  <si>
    <t>DDG 64</t>
  </si>
  <si>
    <t>Coûts &amp; Maintenance - Véhicules Programme</t>
  </si>
  <si>
    <t>Pole 51</t>
  </si>
  <si>
    <t>Mobilier bureau</t>
  </si>
  <si>
    <t>Pole 52</t>
  </si>
  <si>
    <t>Pole 53</t>
  </si>
  <si>
    <t>ASP 19</t>
  </si>
  <si>
    <t>COD-005108</t>
  </si>
  <si>
    <t>Carburant générateur</t>
  </si>
  <si>
    <t>ASP 20</t>
  </si>
  <si>
    <t>Entretien matériel informatique</t>
  </si>
  <si>
    <t>SOF 20</t>
  </si>
  <si>
    <t>COD-005116</t>
  </si>
  <si>
    <t>Carburant et entretien véhicule</t>
  </si>
  <si>
    <t>SOF 21</t>
  </si>
  <si>
    <t>Carburant et entretien motos</t>
  </si>
  <si>
    <t>SOF 22</t>
  </si>
  <si>
    <t>Contractual services (services contractuels)</t>
  </si>
  <si>
    <t>DDG 65</t>
  </si>
  <si>
    <t>COD-005093</t>
  </si>
  <si>
    <t xml:space="preserve">Internet </t>
  </si>
  <si>
    <t>DDG 66</t>
  </si>
  <si>
    <t xml:space="preserve">DRC Dynamic Management Softwhere </t>
  </si>
  <si>
    <t>DDG 67</t>
  </si>
  <si>
    <t>Satellite &amp; Radio</t>
  </si>
  <si>
    <t>DDG 68</t>
  </si>
  <si>
    <t>loyer - Cost and Rehabilitation - Country Office - Goma</t>
  </si>
  <si>
    <t>DDG 69</t>
  </si>
  <si>
    <t>loyer - Cost and Rehabilitation - Base Office - Beni</t>
  </si>
  <si>
    <t>DDG 70</t>
  </si>
  <si>
    <t>loyer - Cost and Rehabilitation - Head Office - Kinshasa</t>
  </si>
  <si>
    <t>DDG 71</t>
  </si>
  <si>
    <t>Guesthouse Cost (loyer, maintenance, furniture, etc.) - Goma</t>
  </si>
  <si>
    <t>DDG 72</t>
  </si>
  <si>
    <t>Guesthouse Cost (loyer, maintenance, furniture, etc.) - Beni</t>
  </si>
  <si>
    <t>DDG 73</t>
  </si>
  <si>
    <t>Guards Goma &amp; Beni</t>
  </si>
  <si>
    <t>DDG 74</t>
  </si>
  <si>
    <t>Shipment</t>
  </si>
  <si>
    <t>DDG 75</t>
  </si>
  <si>
    <t>Legal Fees</t>
  </si>
  <si>
    <t>DDG 76</t>
  </si>
  <si>
    <t>Telephone and Internet - Regional Office Nairobi</t>
  </si>
  <si>
    <t>Pole 54</t>
  </si>
  <si>
    <t>COD-005101</t>
  </si>
  <si>
    <t>Location bureau</t>
  </si>
  <si>
    <t>Pole 55</t>
  </si>
  <si>
    <t>Internet</t>
  </si>
  <si>
    <t>Pole 56</t>
  </si>
  <si>
    <t>Services (éléctricité, eau)</t>
  </si>
  <si>
    <t>ASP 21</t>
  </si>
  <si>
    <t>ASP 22</t>
  </si>
  <si>
    <t>ASP 23</t>
  </si>
  <si>
    <t>Cartes prépayées téléphonique (communication)</t>
  </si>
  <si>
    <t>SOF 23</t>
  </si>
  <si>
    <t>SOF 24</t>
  </si>
  <si>
    <t>Electricité &amp; eau</t>
  </si>
  <si>
    <t>SOF 25</t>
  </si>
  <si>
    <t>SOF 26</t>
  </si>
  <si>
    <t>Travel (voyage)</t>
  </si>
  <si>
    <t>DDG 77</t>
  </si>
  <si>
    <t>Frais de voyage (GoPass, taxes, etc)</t>
  </si>
  <si>
    <t>DDG 78</t>
  </si>
  <si>
    <t>Vols internationaux (R&amp;R)</t>
  </si>
  <si>
    <t>DDG 79</t>
  </si>
  <si>
    <t>Vols locaux</t>
  </si>
  <si>
    <t>DDG 80</t>
  </si>
  <si>
    <t>Voyage, logement &amp; visas - RO Nairobi</t>
  </si>
  <si>
    <t>DDG 81</t>
  </si>
  <si>
    <t>Location véhicule pour trajets (frais de maintenance &amp; fuel inclus)</t>
  </si>
  <si>
    <t>Pole 57</t>
  </si>
  <si>
    <t>Location véhicule (incluant frais d'entretien et essence) 20 jours par mois</t>
  </si>
  <si>
    <t>Pole 58</t>
  </si>
  <si>
    <t>ASP 24</t>
  </si>
  <si>
    <t>COD-005110</t>
  </si>
  <si>
    <t>Location véhicule déplacement terrain Masisi</t>
  </si>
  <si>
    <t>SOF 27</t>
  </si>
  <si>
    <t>COD-005118</t>
  </si>
  <si>
    <t>Location véhicule/moto déplacement terrain</t>
  </si>
  <si>
    <t>Personnel support</t>
  </si>
  <si>
    <r>
      <rPr>
        <b/>
        <sz val="11"/>
        <color theme="1"/>
        <rFont val="Calibri"/>
        <family val="2"/>
        <scheme val="minor"/>
      </rPr>
      <t xml:space="preserve">DRC-DDG </t>
    </r>
    <r>
      <rPr>
        <sz val="11"/>
        <color theme="1"/>
        <rFont val="Calibri"/>
        <family val="2"/>
        <scheme val="minor"/>
      </rPr>
      <t>- personnel support (expatrié) / Coordination Bureau Pays</t>
    </r>
  </si>
  <si>
    <t>DDG 82</t>
  </si>
  <si>
    <t>DDG 83</t>
  </si>
  <si>
    <t>DDG 84</t>
  </si>
  <si>
    <t>DDG 85</t>
  </si>
  <si>
    <r>
      <rPr>
        <b/>
        <sz val="11"/>
        <color theme="1"/>
        <rFont val="Calibri"/>
        <family val="2"/>
        <scheme val="minor"/>
      </rPr>
      <t>DRC-DDG</t>
    </r>
    <r>
      <rPr>
        <sz val="11"/>
        <color theme="1"/>
        <rFont val="Calibri"/>
        <family val="2"/>
        <scheme val="minor"/>
      </rPr>
      <t xml:space="preserve"> - personnel support (national) / Coordination Bureau Pays</t>
    </r>
  </si>
  <si>
    <t>DDG 86</t>
  </si>
  <si>
    <t>Finance Specialist</t>
  </si>
  <si>
    <t>DDG 87</t>
  </si>
  <si>
    <t>HR/Admin Specialist</t>
  </si>
  <si>
    <t>DDG 88</t>
  </si>
  <si>
    <t>Logistics Specialist</t>
  </si>
  <si>
    <t>DDG 89</t>
  </si>
  <si>
    <t>DDG 90</t>
  </si>
  <si>
    <t>Admin Assistant SMT - Kinshasa</t>
  </si>
  <si>
    <t>DDG 91</t>
  </si>
  <si>
    <t>Admin/Finance Assistant - Goma</t>
  </si>
  <si>
    <r>
      <rPr>
        <b/>
        <sz val="11"/>
        <color theme="1"/>
        <rFont val="Calibri"/>
        <family val="2"/>
        <scheme val="minor"/>
      </rPr>
      <t>DRC-DDG</t>
    </r>
    <r>
      <rPr>
        <sz val="11"/>
        <color theme="1"/>
        <rFont val="Calibri"/>
        <family val="2"/>
        <scheme val="minor"/>
      </rPr>
      <t xml:space="preserve"> - personnel support (national) / Bases</t>
    </r>
  </si>
  <si>
    <t>DDG 92</t>
  </si>
  <si>
    <t>Admin/HR Team Leader - Beni</t>
  </si>
  <si>
    <t>DDG 93</t>
  </si>
  <si>
    <t>Logistics Team Leader - Beni</t>
  </si>
  <si>
    <t>DDG 94</t>
  </si>
  <si>
    <t>Logistics Assistant - Beni</t>
  </si>
  <si>
    <t>DDG 95</t>
  </si>
  <si>
    <t>DDG 96</t>
  </si>
  <si>
    <t>Warehouse Assistant - Beni</t>
  </si>
  <si>
    <t>DDG 97</t>
  </si>
  <si>
    <t>Drivers - Goma, Beni, Kinshasa</t>
  </si>
  <si>
    <t>DDG 98</t>
  </si>
  <si>
    <r>
      <rPr>
        <b/>
        <sz val="11"/>
        <color theme="1"/>
        <rFont val="Calibri"/>
        <family val="2"/>
        <scheme val="minor"/>
      </rPr>
      <t>DRC-DDG</t>
    </r>
    <r>
      <rPr>
        <sz val="11"/>
        <color theme="1"/>
        <rFont val="Calibri"/>
        <family val="2"/>
        <scheme val="minor"/>
      </rPr>
      <t xml:space="preserve"> - personnel support (expatrié &amp; national) / Coordination Bureau Régional</t>
    </r>
  </si>
  <si>
    <t>DDG 99</t>
  </si>
  <si>
    <t>Deputy  Director - RO Nairobi</t>
  </si>
  <si>
    <t>DDG 100</t>
  </si>
  <si>
    <t>Security Advisor - RO Nairobi</t>
  </si>
  <si>
    <t>DDG 101</t>
  </si>
  <si>
    <t>Deputy Head of Support Services - RO Nairobi</t>
  </si>
  <si>
    <t>DDG 102</t>
  </si>
  <si>
    <t>Grants Manager - RO Nairobi</t>
  </si>
  <si>
    <t>DDG 103</t>
  </si>
  <si>
    <t>MEL &amp; Communications Coordinator - RO Nairobi</t>
  </si>
  <si>
    <r>
      <rPr>
        <b/>
        <sz val="11"/>
        <color theme="1"/>
        <rFont val="Calibri"/>
        <family val="2"/>
        <scheme val="minor"/>
      </rPr>
      <t>Pole Institute</t>
    </r>
    <r>
      <rPr>
        <sz val="11"/>
        <color theme="1"/>
        <rFont val="Calibri"/>
        <family val="2"/>
        <scheme val="minor"/>
      </rPr>
      <t xml:space="preserve"> - personnel support</t>
    </r>
  </si>
  <si>
    <t>Pole 59</t>
  </si>
  <si>
    <t>Pole 60</t>
  </si>
  <si>
    <t>Pole 61</t>
  </si>
  <si>
    <t>Pole 62</t>
  </si>
  <si>
    <t>Logisticien</t>
  </si>
  <si>
    <r>
      <rPr>
        <b/>
        <sz val="11"/>
        <color theme="1"/>
        <rFont val="Calibri"/>
        <family val="2"/>
        <scheme val="minor"/>
      </rPr>
      <t>ASP</t>
    </r>
    <r>
      <rPr>
        <sz val="11"/>
        <color theme="1"/>
        <rFont val="Calibri"/>
        <family val="2"/>
        <scheme val="minor"/>
      </rPr>
      <t xml:space="preserve"> - personnel support</t>
    </r>
  </si>
  <si>
    <t>ASP 25</t>
  </si>
  <si>
    <t>COD-005112</t>
  </si>
  <si>
    <t>ASP 26</t>
  </si>
  <si>
    <t>ASP 27</t>
  </si>
  <si>
    <t>Chargé de Suivi et de l'Evaluation</t>
  </si>
  <si>
    <r>
      <t>SOFEPADI</t>
    </r>
    <r>
      <rPr>
        <sz val="11"/>
        <color theme="1"/>
        <rFont val="Calibri"/>
        <family val="2"/>
        <scheme val="minor"/>
      </rPr>
      <t xml:space="preserve"> - personnel support</t>
    </r>
  </si>
  <si>
    <t>SOF 28</t>
  </si>
  <si>
    <t>COD-005120</t>
  </si>
  <si>
    <t>SOF 29</t>
  </si>
  <si>
    <t>SOF 30</t>
  </si>
  <si>
    <t>SOF 31</t>
  </si>
  <si>
    <t>SOF 32</t>
  </si>
  <si>
    <t>Frais médicaux</t>
  </si>
  <si>
    <t>General Operating and other Direct Costs (Coûts généraux d'opération et autres coûts directs)</t>
  </si>
  <si>
    <t>DDG 104</t>
  </si>
  <si>
    <t>Communication (phone)</t>
  </si>
  <si>
    <t>DDG 105</t>
  </si>
  <si>
    <t>DDG 106</t>
  </si>
  <si>
    <t>Sûreté, sécurité et urgences</t>
  </si>
  <si>
    <t>DDG 107</t>
  </si>
  <si>
    <t>Communication &amp; visibilité projet (lancement, revue mi-parcours etc.)</t>
  </si>
  <si>
    <t>DDG 108</t>
  </si>
  <si>
    <t>Bank Fees</t>
  </si>
  <si>
    <t>Pole 63</t>
  </si>
  <si>
    <t>Communication</t>
  </si>
  <si>
    <t>Pole 64</t>
  </si>
  <si>
    <t>Frais bancaires</t>
  </si>
  <si>
    <t>Pole 65</t>
  </si>
  <si>
    <t>Frais fiscaux</t>
  </si>
  <si>
    <t>ASP 28</t>
  </si>
  <si>
    <t>ASP 29</t>
  </si>
  <si>
    <t>SOF 33</t>
  </si>
  <si>
    <t>SOF 34</t>
  </si>
  <si>
    <t>Total Coûts Programme</t>
  </si>
  <si>
    <t>Total Coûts Support</t>
  </si>
  <si>
    <t>TOTAL Coûts Programme &amp; Support cumulés</t>
  </si>
  <si>
    <t>BUDGET COMPLET - TOTAL</t>
  </si>
  <si>
    <t>DDG HQ</t>
  </si>
  <si>
    <t xml:space="preserve">7% HQ DRC </t>
  </si>
  <si>
    <t>BUDGET TOTAL DU PROJET (incl. 7% HQ DRC/DDG)</t>
  </si>
  <si>
    <t>% consommation sur budget projet (excl 7%)</t>
  </si>
  <si>
    <t>% consommation budget total (incl. 7% HQ)</t>
  </si>
  <si>
    <t>DONOR TRANCHES</t>
  </si>
  <si>
    <t>UNPBF Tranche 3: XXX $</t>
  </si>
  <si>
    <t>Total défini</t>
  </si>
  <si>
    <t>Tranche burn rate</t>
  </si>
  <si>
    <t>Consommation par catégorie de coût (format bailleur)</t>
  </si>
  <si>
    <t>01 - Staff</t>
  </si>
  <si>
    <t>02 - Supplies, Commodities &amp; Materials</t>
  </si>
  <si>
    <t>03 - Equipment, vehicles &amp; furniture</t>
  </si>
  <si>
    <t>04 - Contractual Services</t>
  </si>
  <si>
    <t>05 - Travel</t>
  </si>
  <si>
    <t>06 - Transfer Costs</t>
  </si>
  <si>
    <t>07 - General Operating Costs (excl. 0)</t>
  </si>
  <si>
    <t>00 - MEAL (à incl. Dans 07)</t>
  </si>
  <si>
    <t>07 &amp; 00 - General Operating Costs &amp; MEAL (actual CC 07 for donor)</t>
  </si>
  <si>
    <t>08 - Indirect Support Costs 7% (DRC HQ)</t>
  </si>
  <si>
    <t>TOT.DEPENSES 2019- Oct.2020</t>
  </si>
  <si>
    <t>Balance</t>
  </si>
  <si>
    <t>%</t>
  </si>
  <si>
    <t>CONTRACTUEL</t>
  </si>
  <si>
    <t xml:space="preserve">Estimated expenditures (Feb.19-Oct.20)
</t>
  </si>
  <si>
    <t>Burn rate by cost category as of Oct. 31st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</si>
</sst>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00_-;\-* #,##0.00_-;_-* &quot;-&quot;??_-;_-@_-"/>
    <numFmt numFmtId="165" formatCode="_-* #,##0_-;\-* #,##0_-;_-* &quot;-&quot;??_-;_-@_-"/>
    <numFmt numFmtId="166" formatCode="_-[$$-409]* #,##0.00_ ;_-[$$-409]* \-#,##0.00\ ;_-[$$-409]* &quot;-&quot;??_ ;_-@_ "/>
    <numFmt numFmtId="167" formatCode="_-[$$-409]* #,##0.0_ ;_-[$$-409]* \-#,##0.0\ ;_-[$$-409]* &quot;-&quot;??_ ;_-@_ "/>
    <numFmt numFmtId="168" formatCode="0.0%"/>
    <numFmt numFmtId="169" formatCode="_([$$-409]* #,##0.00_);_([$$-409]* \(#,##0.00\);_([$$-409]* &quot;-&quot;??_);_(@_)"/>
    <numFmt numFmtId="170" formatCode="_(&quot;$&quot;* #,##0.0_);_(&quot;$&quot;* \(#,##0.0\);_(&quot;$&quot;* &quot;-&quot;??_);_(@_)"/>
  </numFmts>
  <fonts count="48" x14ac:knownFonts="1">
    <font>
      <sz val="11"/>
      <color theme="1"/>
      <name val="Calibri"/>
      <family val="2"/>
      <scheme val="minor"/>
    </font>
    <font>
      <sz val="12"/>
      <color theme="1"/>
      <name val="Times New Roman"/>
      <family val="1"/>
    </font>
    <font>
      <b/>
      <sz val="12"/>
      <color theme="1"/>
      <name val="Times New Roman"/>
      <family val="1"/>
    </font>
    <font>
      <b/>
      <sz val="12"/>
      <color theme="1"/>
      <name val="Calibri"/>
      <family val="2"/>
      <scheme val="minor"/>
    </font>
    <font>
      <b/>
      <sz val="10"/>
      <color theme="1"/>
      <name val="Calibri"/>
      <family val="2"/>
    </font>
    <font>
      <sz val="10"/>
      <color theme="1"/>
      <name val="Calibri"/>
      <family val="2"/>
    </font>
    <font>
      <b/>
      <sz val="11"/>
      <color theme="1"/>
      <name val="Calibri"/>
      <family val="2"/>
      <scheme val="minor"/>
    </font>
    <font>
      <b/>
      <sz val="16"/>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0"/>
      <name val="Calibri"/>
      <family val="2"/>
      <scheme val="minor"/>
    </font>
    <font>
      <sz val="12"/>
      <color theme="1"/>
      <name val="Calibri"/>
      <family val="2"/>
      <scheme val="minor"/>
    </font>
    <font>
      <sz val="11"/>
      <color theme="1"/>
      <name val="Arial"/>
      <family val="2"/>
    </font>
    <font>
      <b/>
      <sz val="11"/>
      <color theme="1"/>
      <name val="Arial"/>
      <family val="2"/>
    </font>
    <font>
      <b/>
      <sz val="12"/>
      <color theme="0"/>
      <name val="Times New Roman"/>
      <family val="1"/>
    </font>
    <font>
      <b/>
      <sz val="12"/>
      <color theme="0"/>
      <name val="Calibri"/>
      <family val="2"/>
      <scheme val="minor"/>
    </font>
    <font>
      <b/>
      <i/>
      <sz val="11"/>
      <color theme="1"/>
      <name val="Calibri"/>
      <family val="2"/>
      <scheme val="minor"/>
    </font>
    <font>
      <sz val="10"/>
      <name val="Calibri"/>
      <family val="2"/>
      <scheme val="minor"/>
    </font>
    <font>
      <sz val="12"/>
      <name val="Times New Roman"/>
      <family val="1"/>
    </font>
    <font>
      <sz val="12"/>
      <color rgb="FFFF0000"/>
      <name val="Times New Roman"/>
      <family val="1"/>
    </font>
    <font>
      <b/>
      <sz val="12"/>
      <color rgb="FFFF0000"/>
      <name val="Times New Roman"/>
      <family val="1"/>
    </font>
    <font>
      <sz val="12"/>
      <color theme="0"/>
      <name val="Times New Roman"/>
      <family val="1"/>
    </font>
    <font>
      <b/>
      <sz val="10"/>
      <name val="Calibri"/>
      <family val="2"/>
    </font>
    <font>
      <b/>
      <sz val="12"/>
      <name val="Times New Roman"/>
      <family val="1"/>
    </font>
    <font>
      <sz val="16"/>
      <color rgb="FFFF0000"/>
      <name val="Calibri"/>
      <family val="2"/>
      <scheme val="minor"/>
    </font>
    <font>
      <b/>
      <sz val="11"/>
      <color theme="0"/>
      <name val="Calibri"/>
      <family val="2"/>
      <scheme val="minor"/>
    </font>
    <font>
      <sz val="11"/>
      <color rgb="FFFF0000"/>
      <name val="Calibri"/>
      <family val="2"/>
      <scheme val="minor"/>
    </font>
    <font>
      <b/>
      <sz val="10"/>
      <color rgb="FFC00000"/>
      <name val="Calibri"/>
      <family val="2"/>
    </font>
    <font>
      <sz val="11"/>
      <name val="Calibri"/>
      <family val="2"/>
      <scheme val="minor"/>
    </font>
    <font>
      <b/>
      <sz val="10"/>
      <color theme="1"/>
      <name val="Calibri"/>
      <family val="2"/>
      <scheme val="minor"/>
    </font>
    <font>
      <sz val="10"/>
      <color rgb="FF009999"/>
      <name val="Calibri"/>
      <family val="2"/>
      <scheme val="minor"/>
    </font>
    <font>
      <sz val="10"/>
      <color rgb="FF7030A0"/>
      <name val="Calibri"/>
      <family val="2"/>
      <scheme val="minor"/>
    </font>
    <font>
      <sz val="11"/>
      <color rgb="FF7030A0"/>
      <name val="Calibri"/>
      <family val="2"/>
      <scheme val="minor"/>
    </font>
    <font>
      <b/>
      <sz val="10"/>
      <color rgb="FF7030A0"/>
      <name val="Calibri"/>
      <family val="2"/>
      <scheme val="minor"/>
    </font>
    <font>
      <sz val="10"/>
      <color rgb="FFFF0000"/>
      <name val="Calibri"/>
      <family val="2"/>
      <scheme val="minor"/>
    </font>
    <font>
      <b/>
      <sz val="10"/>
      <color rgb="FFFF0000"/>
      <name val="Calibri"/>
      <family val="2"/>
      <scheme val="minor"/>
    </font>
    <font>
      <b/>
      <sz val="10"/>
      <color rgb="FF0070C0"/>
      <name val="Calibri"/>
      <family val="2"/>
      <scheme val="minor"/>
    </font>
    <font>
      <sz val="10"/>
      <color rgb="FFFFC000"/>
      <name val="Calibri"/>
      <family val="2"/>
      <scheme val="minor"/>
    </font>
    <font>
      <b/>
      <sz val="10"/>
      <color rgb="FFFFFF00"/>
      <name val="Calibri"/>
      <family val="2"/>
      <scheme val="minor"/>
    </font>
    <font>
      <i/>
      <sz val="10"/>
      <color theme="1"/>
      <name val="Calibri"/>
      <family val="2"/>
      <scheme val="minor"/>
    </font>
    <font>
      <sz val="12"/>
      <color rgb="FFFFFF00"/>
      <name val="Times New Roman"/>
      <family val="1"/>
    </font>
    <font>
      <sz val="10"/>
      <color rgb="FFFFFF00"/>
      <name val="Calibri"/>
      <family val="2"/>
      <scheme val="minor"/>
    </font>
    <font>
      <b/>
      <sz val="11"/>
      <color rgb="FF0070C0"/>
      <name val="Calibri"/>
      <family val="2"/>
      <scheme val="minor"/>
    </font>
    <font>
      <b/>
      <sz val="11"/>
      <color rgb="FF00B050"/>
      <name val="Calibri"/>
      <family val="2"/>
      <scheme val="minor"/>
    </font>
    <font>
      <sz val="10"/>
      <color rgb="FFC00000"/>
      <name val="Calibri"/>
      <family val="2"/>
      <scheme val="minor"/>
    </font>
    <font>
      <b/>
      <sz val="11"/>
      <color rgb="FFFF0000"/>
      <name val="Calibri"/>
      <family val="2"/>
      <scheme val="minor"/>
    </font>
    <font>
      <b/>
      <sz val="12"/>
      <color rgb="FFFFFF00"/>
      <name val="Times New Roman"/>
      <family val="1"/>
    </font>
  </fonts>
  <fills count="32">
    <fill>
      <patternFill patternType="none"/>
    </fill>
    <fill>
      <patternFill patternType="gray125"/>
    </fill>
    <fill>
      <patternFill patternType="solid">
        <fgColor rgb="FFB3B3B3"/>
        <bgColor indexed="64"/>
      </patternFill>
    </fill>
    <fill>
      <patternFill patternType="solid">
        <fgColor rgb="FFBFBFBF"/>
        <bgColor indexed="64"/>
      </patternFill>
    </fill>
    <fill>
      <patternFill patternType="solid">
        <fgColor rgb="FFD9D9D9"/>
        <bgColor indexed="64"/>
      </patternFill>
    </fill>
    <fill>
      <patternFill patternType="solid">
        <fgColor rgb="FFC00000"/>
        <bgColor indexed="64"/>
      </patternFill>
    </fill>
    <fill>
      <patternFill patternType="solid">
        <fgColor rgb="FF8000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theme="2" tint="-0.249977111117893"/>
        <bgColor indexed="64"/>
      </patternFill>
    </fill>
    <fill>
      <patternFill patternType="lightUp">
        <fgColor theme="0" tint="-0.24994659260841701"/>
        <bgColor indexed="65"/>
      </patternFill>
    </fill>
    <fill>
      <patternFill patternType="lightUp">
        <fgColor theme="0" tint="-0.499984740745262"/>
        <bgColor rgb="FFD9D9D9"/>
      </patternFill>
    </fill>
    <fill>
      <patternFill patternType="solid">
        <fgColor theme="2" tint="-0.749992370372631"/>
        <bgColor indexed="64"/>
      </patternFill>
    </fill>
    <fill>
      <patternFill patternType="solid">
        <fgColor theme="2" tint="-0.89999084444715716"/>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002060"/>
        <bgColor indexed="64"/>
      </patternFill>
    </fill>
    <fill>
      <patternFill patternType="solid">
        <fgColor theme="8"/>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CCCCFF"/>
        <bgColor indexed="64"/>
      </patternFill>
    </fill>
    <fill>
      <patternFill patternType="solid">
        <fgColor theme="3" tint="0.39997558519241921"/>
        <bgColor indexed="64"/>
      </patternFill>
    </fill>
    <fill>
      <patternFill patternType="solid">
        <fgColor rgb="FF7030A0"/>
        <bgColor indexed="64"/>
      </patternFill>
    </fill>
    <fill>
      <patternFill patternType="solid">
        <fgColor rgb="FFCC99FF"/>
        <bgColor indexed="64"/>
      </patternFill>
    </fill>
    <fill>
      <patternFill patternType="solid">
        <fgColor rgb="FFFF7979"/>
        <bgColor indexed="64"/>
      </patternFill>
    </fill>
    <fill>
      <patternFill patternType="solid">
        <fgColor rgb="FFFFBDBD"/>
        <bgColor indexed="64"/>
      </patternFill>
    </fill>
    <fill>
      <patternFill patternType="solid">
        <fgColor rgb="FF009999"/>
        <bgColor indexed="64"/>
      </patternFill>
    </fill>
    <fill>
      <patternFill patternType="solid">
        <fgColor rgb="FF339966"/>
        <bgColor indexed="64"/>
      </patternFill>
    </fill>
    <fill>
      <patternFill patternType="solid">
        <fgColor theme="9" tint="0.39997558519241921"/>
        <bgColor indexed="64"/>
      </patternFill>
    </fill>
    <fill>
      <patternFill patternType="solid">
        <fgColor theme="9" tint="0.59999389629810485"/>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style="medium">
        <color indexed="64"/>
      </left>
      <right/>
      <top/>
      <bottom style="medium">
        <color indexed="64"/>
      </bottom>
      <diagonal/>
    </border>
    <border>
      <left/>
      <right/>
      <top style="medium">
        <color indexed="64"/>
      </top>
      <bottom/>
      <diagonal/>
    </border>
    <border>
      <left style="thin">
        <color auto="1"/>
      </left>
      <right/>
      <top/>
      <bottom style="thin">
        <color auto="1"/>
      </bottom>
      <diagonal/>
    </border>
    <border>
      <left style="medium">
        <color indexed="64"/>
      </left>
      <right style="medium">
        <color indexed="64"/>
      </right>
      <top style="medium">
        <color indexed="64"/>
      </top>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bottom style="medium">
        <color indexed="64"/>
      </bottom>
      <diagonal/>
    </border>
    <border>
      <left style="medium">
        <color indexed="64"/>
      </left>
      <right/>
      <top/>
      <bottom/>
      <diagonal/>
    </border>
    <border>
      <left/>
      <right/>
      <top/>
      <bottom style="medium">
        <color rgb="FF000000"/>
      </bottom>
      <diagonal/>
    </border>
    <border>
      <left style="medium">
        <color rgb="FF000000"/>
      </left>
      <right/>
      <top/>
      <bottom style="medium">
        <color rgb="FF000000"/>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style="thin">
        <color auto="1"/>
      </right>
      <top/>
      <bottom/>
      <diagonal/>
    </border>
  </borders>
  <cellStyleXfs count="6">
    <xf numFmtId="0" fontId="0" fillId="0" borderId="0"/>
    <xf numFmtId="9" fontId="8" fillId="0" borderId="0" applyFont="0" applyFill="0" applyBorder="0" applyAlignment="0" applyProtection="0"/>
    <xf numFmtId="164" fontId="8" fillId="0" borderId="0" applyFont="0" applyFill="0" applyBorder="0" applyAlignment="0" applyProtection="0"/>
    <xf numFmtId="0" fontId="8" fillId="0" borderId="0"/>
    <xf numFmtId="164" fontId="8" fillId="0" borderId="0" applyFont="0" applyFill="0" applyBorder="0" applyAlignment="0" applyProtection="0"/>
    <xf numFmtId="44" fontId="8" fillId="0" borderId="0" applyFont="0" applyFill="0" applyBorder="0" applyAlignment="0" applyProtection="0"/>
  </cellStyleXfs>
  <cellXfs count="359">
    <xf numFmtId="0" fontId="0" fillId="0" borderId="0" xfId="0"/>
    <xf numFmtId="0" fontId="3" fillId="0" borderId="0" xfId="0" applyFont="1"/>
    <xf numFmtId="0" fontId="4" fillId="3" borderId="7" xfId="0" applyFont="1" applyFill="1" applyBorder="1" applyAlignment="1">
      <alignment horizontal="center" vertical="center" wrapText="1"/>
    </xf>
    <xf numFmtId="0" fontId="5" fillId="0" borderId="6" xfId="0" applyFont="1" applyBorder="1" applyAlignment="1">
      <alignment vertical="center" wrapText="1"/>
    </xf>
    <xf numFmtId="0" fontId="4" fillId="4" borderId="6" xfId="0" applyFont="1" applyFill="1" applyBorder="1" applyAlignment="1">
      <alignment vertical="center" wrapText="1"/>
    </xf>
    <xf numFmtId="0" fontId="6" fillId="0" borderId="0" xfId="0" applyFont="1"/>
    <xf numFmtId="0" fontId="1" fillId="0" borderId="3" xfId="0" applyFont="1" applyBorder="1" applyAlignment="1">
      <alignment vertical="center" wrapText="1"/>
    </xf>
    <xf numFmtId="0" fontId="3" fillId="0" borderId="0" xfId="0" applyFont="1" applyAlignment="1">
      <alignment wrapText="1"/>
    </xf>
    <xf numFmtId="0" fontId="0" fillId="0" borderId="0" xfId="0" applyAlignment="1">
      <alignment wrapText="1"/>
    </xf>
    <xf numFmtId="0" fontId="1" fillId="0" borderId="9" xfId="0" applyFont="1" applyBorder="1" applyAlignment="1">
      <alignment vertical="center" wrapText="1"/>
    </xf>
    <xf numFmtId="165" fontId="12" fillId="0" borderId="0" xfId="4" applyNumberFormat="1" applyFont="1"/>
    <xf numFmtId="165" fontId="8" fillId="0" borderId="0" xfId="4" applyNumberFormat="1" applyFont="1"/>
    <xf numFmtId="165" fontId="1" fillId="0" borderId="9" xfId="4" applyNumberFormat="1" applyFont="1" applyBorder="1" applyAlignment="1">
      <alignment vertical="center" wrapText="1"/>
    </xf>
    <xf numFmtId="165" fontId="5" fillId="0" borderId="7" xfId="4" applyNumberFormat="1" applyFont="1" applyBorder="1" applyAlignment="1">
      <alignment horizontal="right" vertical="center" wrapText="1"/>
    </xf>
    <xf numFmtId="165" fontId="5" fillId="4" borderId="7" xfId="4" applyNumberFormat="1" applyFont="1" applyFill="1" applyBorder="1" applyAlignment="1">
      <alignment horizontal="right" vertical="center" wrapText="1"/>
    </xf>
    <xf numFmtId="9" fontId="8" fillId="0" borderId="0" xfId="1" applyFont="1"/>
    <xf numFmtId="0" fontId="13" fillId="0" borderId="0" xfId="0" applyFont="1"/>
    <xf numFmtId="0" fontId="14" fillId="0" borderId="0" xfId="0" applyFont="1"/>
    <xf numFmtId="0" fontId="10" fillId="0" borderId="13" xfId="0" applyFont="1" applyFill="1" applyBorder="1"/>
    <xf numFmtId="9" fontId="9" fillId="0" borderId="11" xfId="1" applyFont="1" applyFill="1" applyBorder="1" applyAlignment="1">
      <alignment horizontal="center" vertical="center" wrapText="1"/>
    </xf>
    <xf numFmtId="0" fontId="10" fillId="0" borderId="14" xfId="0" applyFont="1" applyFill="1" applyBorder="1"/>
    <xf numFmtId="9" fontId="9" fillId="0" borderId="8" xfId="1" applyFont="1" applyFill="1" applyBorder="1" applyAlignment="1">
      <alignment horizontal="center" vertical="center" wrapText="1"/>
    </xf>
    <xf numFmtId="9" fontId="9" fillId="0" borderId="8" xfId="1" applyFont="1" applyBorder="1" applyAlignment="1">
      <alignment horizontal="center"/>
    </xf>
    <xf numFmtId="0" fontId="10" fillId="0" borderId="15" xfId="0" applyFont="1" applyFill="1" applyBorder="1"/>
    <xf numFmtId="9" fontId="9" fillId="0" borderId="16" xfId="1" applyFont="1" applyBorder="1" applyAlignment="1">
      <alignment horizontal="center"/>
    </xf>
    <xf numFmtId="0" fontId="11" fillId="6" borderId="3" xfId="0" applyFont="1" applyFill="1" applyBorder="1"/>
    <xf numFmtId="0" fontId="11" fillId="6" borderId="4" xfId="0" applyFont="1" applyFill="1" applyBorder="1" applyAlignment="1">
      <alignment wrapText="1"/>
    </xf>
    <xf numFmtId="0" fontId="11" fillId="6" borderId="12" xfId="0" applyFont="1" applyFill="1" applyBorder="1"/>
    <xf numFmtId="0" fontId="9" fillId="0" borderId="17" xfId="0" applyFont="1" applyBorder="1" applyAlignment="1">
      <alignment wrapText="1"/>
    </xf>
    <xf numFmtId="0" fontId="9" fillId="0" borderId="17" xfId="0" applyFont="1" applyFill="1" applyBorder="1" applyAlignment="1">
      <alignment wrapText="1"/>
    </xf>
    <xf numFmtId="0" fontId="9" fillId="0" borderId="18" xfId="0" applyFont="1" applyBorder="1"/>
    <xf numFmtId="166" fontId="0" fillId="0" borderId="0" xfId="0" applyNumberFormat="1"/>
    <xf numFmtId="165" fontId="4" fillId="4" borderId="7" xfId="4" applyNumberFormat="1" applyFont="1" applyFill="1" applyBorder="1" applyAlignment="1">
      <alignment horizontal="right" vertical="center" wrapText="1"/>
    </xf>
    <xf numFmtId="0" fontId="15" fillId="8" borderId="1" xfId="0" applyFont="1" applyFill="1" applyBorder="1" applyAlignment="1">
      <alignment vertical="center" wrapText="1"/>
    </xf>
    <xf numFmtId="165" fontId="15" fillId="8" borderId="2" xfId="4" applyNumberFormat="1" applyFont="1" applyFill="1" applyBorder="1" applyAlignment="1">
      <alignment vertical="center" wrapText="1"/>
    </xf>
    <xf numFmtId="0" fontId="15" fillId="8" borderId="2" xfId="0" applyFont="1" applyFill="1" applyBorder="1" applyAlignment="1">
      <alignment vertical="center" wrapText="1"/>
    </xf>
    <xf numFmtId="0" fontId="2" fillId="7" borderId="9" xfId="0" applyFont="1" applyFill="1" applyBorder="1" applyAlignment="1">
      <alignment vertical="center" wrapText="1"/>
    </xf>
    <xf numFmtId="165" fontId="2" fillId="7" borderId="3" xfId="4" applyNumberFormat="1" applyFont="1" applyFill="1" applyBorder="1" applyAlignment="1">
      <alignment vertical="center" wrapText="1"/>
    </xf>
    <xf numFmtId="9" fontId="2" fillId="7" borderId="3" xfId="1" applyFont="1" applyFill="1" applyBorder="1" applyAlignment="1">
      <alignment vertical="center" wrapText="1"/>
    </xf>
    <xf numFmtId="165" fontId="2" fillId="7" borderId="9" xfId="4" applyNumberFormat="1" applyFont="1" applyFill="1" applyBorder="1" applyAlignment="1">
      <alignment vertical="center" wrapText="1"/>
    </xf>
    <xf numFmtId="165" fontId="2" fillId="8" borderId="4" xfId="4" applyNumberFormat="1" applyFont="1" applyFill="1" applyBorder="1" applyAlignment="1">
      <alignment vertical="center" wrapText="1"/>
    </xf>
    <xf numFmtId="0" fontId="12" fillId="0" borderId="0" xfId="0" applyFont="1" applyFill="1"/>
    <xf numFmtId="0" fontId="2" fillId="7" borderId="4" xfId="0" applyFont="1" applyFill="1" applyBorder="1" applyAlignment="1">
      <alignment vertical="center" wrapText="1"/>
    </xf>
    <xf numFmtId="0" fontId="18" fillId="0" borderId="3" xfId="0" applyFont="1" applyFill="1" applyBorder="1" applyAlignment="1">
      <alignment horizontal="right" vertical="center" wrapText="1"/>
    </xf>
    <xf numFmtId="0" fontId="1" fillId="0" borderId="2" xfId="0" applyFont="1" applyBorder="1" applyAlignment="1">
      <alignment vertical="center" wrapText="1"/>
    </xf>
    <xf numFmtId="166" fontId="2" fillId="7" borderId="1" xfId="0" applyNumberFormat="1" applyFont="1" applyFill="1" applyBorder="1" applyAlignment="1">
      <alignment vertical="center" wrapText="1"/>
    </xf>
    <xf numFmtId="167" fontId="15" fillId="8" borderId="1" xfId="4" applyNumberFormat="1" applyFont="1" applyFill="1" applyBorder="1" applyAlignment="1">
      <alignment vertical="center" wrapText="1"/>
    </xf>
    <xf numFmtId="166" fontId="16" fillId="5" borderId="1" xfId="0" applyNumberFormat="1" applyFont="1" applyFill="1" applyBorder="1"/>
    <xf numFmtId="165" fontId="1" fillId="0" borderId="24" xfId="4" applyNumberFormat="1" applyFont="1" applyBorder="1" applyAlignment="1">
      <alignment vertical="center" wrapText="1"/>
    </xf>
    <xf numFmtId="165" fontId="1" fillId="7" borderId="24" xfId="4" applyNumberFormat="1" applyFont="1" applyFill="1" applyBorder="1" applyAlignment="1">
      <alignment vertical="center" wrapText="1"/>
    </xf>
    <xf numFmtId="165" fontId="1" fillId="0" borderId="25" xfId="4" applyNumberFormat="1" applyFont="1" applyBorder="1" applyAlignment="1">
      <alignment vertical="center" wrapText="1"/>
    </xf>
    <xf numFmtId="165" fontId="2" fillId="8" borderId="2" xfId="4" applyNumberFormat="1" applyFont="1" applyFill="1" applyBorder="1" applyAlignment="1">
      <alignment vertical="center" wrapText="1"/>
    </xf>
    <xf numFmtId="165" fontId="5" fillId="0" borderId="7" xfId="4" applyNumberFormat="1" applyFont="1" applyFill="1" applyBorder="1" applyAlignment="1">
      <alignment horizontal="right" vertical="center" wrapText="1"/>
    </xf>
    <xf numFmtId="3" fontId="0" fillId="0" borderId="0" xfId="0" applyNumberFormat="1"/>
    <xf numFmtId="3" fontId="2" fillId="7" borderId="3" xfId="4" applyNumberFormat="1" applyFont="1" applyFill="1" applyBorder="1" applyAlignment="1">
      <alignment vertical="center" wrapText="1"/>
    </xf>
    <xf numFmtId="3" fontId="1" fillId="0" borderId="9" xfId="4" applyNumberFormat="1" applyFont="1" applyBorder="1" applyAlignment="1">
      <alignment vertical="center" wrapText="1"/>
    </xf>
    <xf numFmtId="3" fontId="2" fillId="7" borderId="9" xfId="4" applyNumberFormat="1" applyFont="1" applyFill="1" applyBorder="1" applyAlignment="1">
      <alignment vertical="center" wrapText="1"/>
    </xf>
    <xf numFmtId="3" fontId="1" fillId="0" borderId="20" xfId="4" applyNumberFormat="1" applyFont="1" applyBorder="1" applyAlignment="1">
      <alignment vertical="center" wrapText="1"/>
    </xf>
    <xf numFmtId="3" fontId="15" fillId="8" borderId="3" xfId="4"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1" fillId="0" borderId="2" xfId="4" applyNumberFormat="1" applyFont="1" applyBorder="1" applyAlignment="1">
      <alignment vertical="center" wrapText="1"/>
    </xf>
    <xf numFmtId="3" fontId="2" fillId="7" borderId="1" xfId="0" applyNumberFormat="1" applyFont="1" applyFill="1" applyBorder="1" applyAlignment="1">
      <alignment vertical="center" wrapText="1"/>
    </xf>
    <xf numFmtId="3" fontId="1" fillId="0" borderId="1" xfId="4" applyNumberFormat="1" applyFont="1" applyBorder="1" applyAlignment="1">
      <alignment vertical="center" wrapText="1"/>
    </xf>
    <xf numFmtId="3" fontId="1" fillId="0" borderId="12" xfId="4" applyNumberFormat="1" applyFont="1" applyBorder="1" applyAlignment="1">
      <alignment vertical="center" wrapText="1"/>
    </xf>
    <xf numFmtId="3" fontId="15" fillId="8" borderId="1" xfId="4" applyNumberFormat="1" applyFont="1" applyFill="1" applyBorder="1" applyAlignment="1">
      <alignment vertical="center" wrapText="1"/>
    </xf>
    <xf numFmtId="3" fontId="16" fillId="5" borderId="1" xfId="0" applyNumberFormat="1" applyFont="1" applyFill="1" applyBorder="1"/>
    <xf numFmtId="164" fontId="0" fillId="0" borderId="0" xfId="4" applyNumberFormat="1" applyFont="1"/>
    <xf numFmtId="0" fontId="3" fillId="0" borderId="0" xfId="0" applyFont="1" applyAlignment="1">
      <alignment horizontal="center" wrapText="1"/>
    </xf>
    <xf numFmtId="0" fontId="9" fillId="0" borderId="0" xfId="0" applyFont="1"/>
    <xf numFmtId="0" fontId="19" fillId="0" borderId="2" xfId="0" applyFont="1" applyBorder="1" applyAlignment="1">
      <alignment vertical="center" wrapText="1"/>
    </xf>
    <xf numFmtId="3" fontId="20" fillId="0" borderId="19" xfId="4" applyNumberFormat="1" applyFont="1" applyFill="1" applyBorder="1" applyAlignment="1">
      <alignment vertical="center" wrapText="1"/>
    </xf>
    <xf numFmtId="3" fontId="1" fillId="0" borderId="19" xfId="4" applyNumberFormat="1" applyFont="1" applyFill="1" applyBorder="1" applyAlignment="1">
      <alignment vertical="center" wrapText="1"/>
    </xf>
    <xf numFmtId="3" fontId="19" fillId="0" borderId="19" xfId="4" applyNumberFormat="1" applyFont="1" applyFill="1" applyBorder="1" applyAlignment="1">
      <alignment vertical="center" wrapText="1"/>
    </xf>
    <xf numFmtId="0" fontId="20" fillId="0" borderId="3" xfId="0" applyFont="1" applyBorder="1" applyAlignment="1">
      <alignment vertical="center" wrapText="1"/>
    </xf>
    <xf numFmtId="3" fontId="1" fillId="0" borderId="9" xfId="4" applyNumberFormat="1" applyFont="1" applyFill="1" applyBorder="1" applyAlignment="1">
      <alignment vertical="center" wrapText="1"/>
    </xf>
    <xf numFmtId="3" fontId="1" fillId="0" borderId="20" xfId="4" applyNumberFormat="1" applyFont="1" applyFill="1" applyBorder="1" applyAlignment="1">
      <alignment vertical="center" wrapText="1"/>
    </xf>
    <xf numFmtId="3" fontId="20" fillId="0" borderId="9" xfId="4" applyNumberFormat="1" applyFont="1" applyFill="1" applyBorder="1" applyAlignment="1">
      <alignment vertical="center" wrapText="1"/>
    </xf>
    <xf numFmtId="165" fontId="5" fillId="4" borderId="21" xfId="4" applyNumberFormat="1" applyFont="1" applyFill="1" applyBorder="1" applyAlignment="1">
      <alignment horizontal="right" vertical="center" wrapText="1"/>
    </xf>
    <xf numFmtId="165" fontId="4" fillId="4" borderId="21" xfId="4" applyNumberFormat="1" applyFont="1" applyFill="1" applyBorder="1" applyAlignment="1">
      <alignment horizontal="right" vertical="center" wrapText="1"/>
    </xf>
    <xf numFmtId="165" fontId="4" fillId="4" borderId="1" xfId="4" applyNumberFormat="1" applyFont="1" applyFill="1" applyBorder="1" applyAlignment="1">
      <alignment horizontal="right" vertical="center" wrapText="1"/>
    </xf>
    <xf numFmtId="49" fontId="1" fillId="0" borderId="24" xfId="4" applyNumberFormat="1" applyFont="1" applyBorder="1" applyAlignment="1">
      <alignment vertical="center" wrapText="1"/>
    </xf>
    <xf numFmtId="3" fontId="21" fillId="7" borderId="9" xfId="0" applyNumberFormat="1" applyFont="1" applyFill="1" applyBorder="1" applyAlignment="1">
      <alignment vertical="center" wrapText="1"/>
    </xf>
    <xf numFmtId="9" fontId="2" fillId="0" borderId="3" xfId="1" applyFont="1" applyFill="1" applyBorder="1" applyAlignment="1">
      <alignment horizontal="right" vertical="center" wrapText="1"/>
    </xf>
    <xf numFmtId="9" fontId="2" fillId="11" borderId="3" xfId="1" applyFont="1" applyFill="1" applyBorder="1" applyAlignment="1">
      <alignment horizontal="right" vertical="center" wrapText="1"/>
    </xf>
    <xf numFmtId="165" fontId="1" fillId="11" borderId="9" xfId="4" applyNumberFormat="1" applyFont="1" applyFill="1" applyBorder="1" applyAlignment="1">
      <alignment vertical="center" wrapText="1"/>
    </xf>
    <xf numFmtId="4" fontId="20" fillId="0" borderId="9" xfId="4" applyNumberFormat="1" applyFont="1" applyFill="1" applyBorder="1" applyAlignment="1">
      <alignment vertical="center" wrapText="1"/>
    </xf>
    <xf numFmtId="3" fontId="20" fillId="0" borderId="20" xfId="4" applyNumberFormat="1" applyFont="1" applyFill="1" applyBorder="1" applyAlignment="1">
      <alignment vertical="center" wrapText="1"/>
    </xf>
    <xf numFmtId="3" fontId="15" fillId="9" borderId="2" xfId="0" applyNumberFormat="1" applyFont="1" applyFill="1" applyBorder="1" applyAlignment="1">
      <alignment horizontal="center" vertical="center" wrapText="1"/>
    </xf>
    <xf numFmtId="0" fontId="0" fillId="0" borderId="1" xfId="0" applyFill="1" applyBorder="1"/>
    <xf numFmtId="165" fontId="5" fillId="12" borderId="1" xfId="4" applyNumberFormat="1" applyFont="1" applyFill="1" applyBorder="1" applyAlignment="1">
      <alignment horizontal="right" vertical="center" wrapText="1"/>
    </xf>
    <xf numFmtId="165" fontId="4" fillId="12" borderId="1" xfId="4" applyNumberFormat="1" applyFont="1" applyFill="1" applyBorder="1" applyAlignment="1">
      <alignment horizontal="right" vertical="center" wrapText="1"/>
    </xf>
    <xf numFmtId="164" fontId="0" fillId="0" borderId="0" xfId="0" applyNumberFormat="1"/>
    <xf numFmtId="164" fontId="15" fillId="8" borderId="2" xfId="0" applyNumberFormat="1" applyFont="1" applyFill="1" applyBorder="1" applyAlignment="1">
      <alignment vertical="center" wrapText="1"/>
    </xf>
    <xf numFmtId="164" fontId="22" fillId="8" borderId="9" xfId="4" applyNumberFormat="1" applyFont="1" applyFill="1" applyBorder="1" applyAlignment="1">
      <alignment vertical="center" wrapText="1"/>
    </xf>
    <xf numFmtId="164" fontId="1" fillId="7" borderId="9" xfId="4" applyNumberFormat="1" applyFont="1" applyFill="1" applyBorder="1" applyAlignment="1">
      <alignment vertical="center" wrapText="1"/>
    </xf>
    <xf numFmtId="164" fontId="2" fillId="7" borderId="4" xfId="0" applyNumberFormat="1" applyFont="1" applyFill="1" applyBorder="1" applyAlignment="1">
      <alignment vertical="center" wrapText="1"/>
    </xf>
    <xf numFmtId="164" fontId="2" fillId="7" borderId="1" xfId="0" applyNumberFormat="1" applyFont="1" applyFill="1" applyBorder="1" applyAlignment="1">
      <alignment vertical="center" wrapText="1"/>
    </xf>
    <xf numFmtId="164" fontId="22" fillId="8" borderId="9" xfId="5" applyNumberFormat="1" applyFont="1" applyFill="1" applyBorder="1" applyAlignment="1">
      <alignment vertical="center" wrapText="1"/>
    </xf>
    <xf numFmtId="164" fontId="15" fillId="8" borderId="1" xfId="4" applyNumberFormat="1" applyFont="1" applyFill="1" applyBorder="1" applyAlignment="1">
      <alignment vertical="center" wrapText="1"/>
    </xf>
    <xf numFmtId="164" fontId="16" fillId="5" borderId="1" xfId="0" applyNumberFormat="1" applyFont="1" applyFill="1" applyBorder="1"/>
    <xf numFmtId="0" fontId="3" fillId="0" borderId="0" xfId="0" applyFont="1" applyAlignment="1">
      <alignment horizontal="center" wrapText="1"/>
    </xf>
    <xf numFmtId="9" fontId="9" fillId="0" borderId="0" xfId="1" applyFont="1"/>
    <xf numFmtId="0" fontId="9" fillId="0" borderId="0" xfId="1" applyNumberFormat="1" applyFont="1"/>
    <xf numFmtId="9" fontId="5" fillId="15" borderId="1" xfId="1" applyNumberFormat="1" applyFont="1" applyFill="1" applyBorder="1" applyAlignment="1">
      <alignment horizontal="right" vertical="center" wrapText="1"/>
    </xf>
    <xf numFmtId="9" fontId="5" fillId="15" borderId="27" xfId="4" applyNumberFormat="1" applyFont="1" applyFill="1" applyBorder="1" applyAlignment="1">
      <alignment horizontal="right" vertical="center" wrapText="1"/>
    </xf>
    <xf numFmtId="165" fontId="4" fillId="10" borderId="21" xfId="4" applyNumberFormat="1" applyFont="1" applyFill="1" applyBorder="1" applyAlignment="1">
      <alignment horizontal="right" vertical="center" wrapText="1"/>
    </xf>
    <xf numFmtId="164" fontId="4" fillId="4" borderId="1" xfId="4" applyNumberFormat="1" applyFont="1" applyFill="1" applyBorder="1" applyAlignment="1">
      <alignment horizontal="right" vertical="center" wrapText="1"/>
    </xf>
    <xf numFmtId="0" fontId="23" fillId="0" borderId="1" xfId="0" applyFont="1" applyFill="1" applyBorder="1" applyAlignment="1">
      <alignment vertical="center" wrapText="1"/>
    </xf>
    <xf numFmtId="0" fontId="19" fillId="0" borderId="3" xfId="0" applyFont="1" applyBorder="1" applyAlignment="1">
      <alignment vertical="center" wrapText="1"/>
    </xf>
    <xf numFmtId="3" fontId="19" fillId="0" borderId="1" xfId="4" applyNumberFormat="1" applyFont="1" applyBorder="1" applyAlignment="1">
      <alignment vertical="center" wrapText="1"/>
    </xf>
    <xf numFmtId="3" fontId="19" fillId="0" borderId="9" xfId="4" applyNumberFormat="1" applyFont="1" applyFill="1" applyBorder="1" applyAlignment="1">
      <alignment vertical="center" wrapText="1"/>
    </xf>
    <xf numFmtId="3" fontId="24" fillId="7" borderId="9" xfId="0" applyNumberFormat="1" applyFont="1" applyFill="1" applyBorder="1" applyAlignment="1">
      <alignment vertical="center" wrapText="1"/>
    </xf>
    <xf numFmtId="3" fontId="19" fillId="0" borderId="1" xfId="4" applyNumberFormat="1" applyFont="1" applyFill="1" applyBorder="1" applyAlignment="1">
      <alignment vertical="center" wrapText="1"/>
    </xf>
    <xf numFmtId="3" fontId="19" fillId="0" borderId="24" xfId="4" applyNumberFormat="1" applyFont="1" applyFill="1" applyBorder="1" applyAlignment="1">
      <alignment vertical="center" wrapText="1"/>
    </xf>
    <xf numFmtId="0" fontId="19" fillId="0" borderId="19" xfId="0" applyFont="1" applyBorder="1" applyAlignment="1">
      <alignment vertical="center" wrapText="1"/>
    </xf>
    <xf numFmtId="0" fontId="18" fillId="0" borderId="9" xfId="0" applyFont="1" applyFill="1" applyBorder="1" applyAlignment="1">
      <alignment horizontal="right" vertical="center" wrapText="1"/>
    </xf>
    <xf numFmtId="3" fontId="15" fillId="8" borderId="2" xfId="0" applyNumberFormat="1" applyFont="1" applyFill="1" applyBorder="1" applyAlignment="1">
      <alignment horizontal="center" vertical="center" wrapText="1"/>
    </xf>
    <xf numFmtId="3" fontId="15" fillId="13" borderId="3" xfId="4" applyNumberFormat="1" applyFont="1" applyFill="1" applyBorder="1" applyAlignment="1">
      <alignment vertical="center" wrapText="1"/>
    </xf>
    <xf numFmtId="165" fontId="2" fillId="13" borderId="4" xfId="4" applyNumberFormat="1" applyFont="1" applyFill="1" applyBorder="1" applyAlignment="1">
      <alignment vertical="center" wrapText="1"/>
    </xf>
    <xf numFmtId="165" fontId="2" fillId="13" borderId="2" xfId="4" applyNumberFormat="1" applyFont="1" applyFill="1" applyBorder="1" applyAlignment="1">
      <alignment vertical="center" wrapText="1"/>
    </xf>
    <xf numFmtId="9" fontId="0" fillId="0" borderId="0" xfId="1" applyFont="1"/>
    <xf numFmtId="164" fontId="2" fillId="7" borderId="3" xfId="4" applyFont="1" applyFill="1" applyBorder="1" applyAlignment="1">
      <alignment vertical="center" wrapText="1"/>
    </xf>
    <xf numFmtId="164" fontId="2" fillId="7" borderId="9" xfId="4" applyFont="1" applyFill="1" applyBorder="1" applyAlignment="1">
      <alignment vertical="center" wrapText="1"/>
    </xf>
    <xf numFmtId="164" fontId="1" fillId="0" borderId="24" xfId="4" applyNumberFormat="1" applyFont="1" applyBorder="1" applyAlignment="1">
      <alignment vertical="center" wrapText="1"/>
    </xf>
    <xf numFmtId="164" fontId="1" fillId="0" borderId="25" xfId="4" applyNumberFormat="1" applyFont="1" applyBorder="1" applyAlignment="1">
      <alignment vertical="center" wrapText="1"/>
    </xf>
    <xf numFmtId="0" fontId="2" fillId="7" borderId="1" xfId="0" applyFont="1" applyFill="1" applyBorder="1" applyAlignment="1">
      <alignment vertical="center" wrapText="1"/>
    </xf>
    <xf numFmtId="165" fontId="1" fillId="0" borderId="1" xfId="4" applyNumberFormat="1" applyFont="1" applyBorder="1" applyAlignment="1">
      <alignment vertical="center" wrapText="1"/>
    </xf>
    <xf numFmtId="49" fontId="19" fillId="7" borderId="1" xfId="4" applyNumberFormat="1" applyFont="1" applyFill="1" applyBorder="1" applyAlignment="1">
      <alignment vertical="center" wrapText="1"/>
    </xf>
    <xf numFmtId="165" fontId="19" fillId="0" borderId="24" xfId="4" applyNumberFormat="1" applyFont="1" applyBorder="1" applyAlignment="1">
      <alignment vertical="center" wrapText="1"/>
    </xf>
    <xf numFmtId="49" fontId="19" fillId="0" borderId="24" xfId="4" applyNumberFormat="1" applyFont="1" applyBorder="1" applyAlignment="1">
      <alignment vertical="center" wrapText="1"/>
    </xf>
    <xf numFmtId="165" fontId="23" fillId="10" borderId="21" xfId="4" applyNumberFormat="1" applyFont="1" applyFill="1" applyBorder="1" applyAlignment="1">
      <alignment horizontal="right" vertical="center" wrapText="1"/>
    </xf>
    <xf numFmtId="10" fontId="5" fillId="15" borderId="1" xfId="1" applyNumberFormat="1" applyFont="1" applyFill="1" applyBorder="1" applyAlignment="1">
      <alignment horizontal="right" vertical="center" wrapText="1"/>
    </xf>
    <xf numFmtId="10" fontId="5" fillId="12" borderId="1" xfId="4" applyNumberFormat="1" applyFont="1" applyFill="1" applyBorder="1" applyAlignment="1">
      <alignment horizontal="right" vertical="center" wrapText="1"/>
    </xf>
    <xf numFmtId="10" fontId="4" fillId="12" borderId="1" xfId="4" applyNumberFormat="1" applyFont="1" applyFill="1" applyBorder="1" applyAlignment="1">
      <alignment horizontal="right" vertical="center" wrapText="1"/>
    </xf>
    <xf numFmtId="165" fontId="28" fillId="10" borderId="21" xfId="4" applyNumberFormat="1" applyFont="1" applyFill="1" applyBorder="1" applyAlignment="1">
      <alignment horizontal="right" vertical="center" wrapText="1"/>
    </xf>
    <xf numFmtId="165" fontId="0" fillId="0" borderId="0" xfId="0" applyNumberFormat="1"/>
    <xf numFmtId="0" fontId="11" fillId="5" borderId="28"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5" borderId="28" xfId="0" applyFont="1" applyFill="1" applyBorder="1" applyAlignment="1">
      <alignment horizontal="left" vertical="center" wrapText="1"/>
    </xf>
    <xf numFmtId="0" fontId="11" fillId="18" borderId="28" xfId="0" applyFont="1" applyFill="1" applyBorder="1" applyAlignment="1">
      <alignment horizontal="center" vertical="center"/>
    </xf>
    <xf numFmtId="0" fontId="11" fillId="18" borderId="30" xfId="0" applyFont="1" applyFill="1" applyBorder="1" applyAlignment="1">
      <alignment vertical="center"/>
    </xf>
    <xf numFmtId="0" fontId="30" fillId="19" borderId="28" xfId="0" applyFont="1" applyFill="1" applyBorder="1" applyAlignment="1">
      <alignment horizontal="center" vertical="center"/>
    </xf>
    <xf numFmtId="0" fontId="30" fillId="19" borderId="30" xfId="0" applyFont="1" applyFill="1" applyBorder="1" applyAlignment="1">
      <alignment vertical="center"/>
    </xf>
    <xf numFmtId="0" fontId="0" fillId="0" borderId="28" xfId="0" applyFont="1" applyFill="1" applyBorder="1"/>
    <xf numFmtId="0" fontId="0" fillId="0" borderId="28" xfId="0" applyFont="1" applyFill="1" applyBorder="1" applyAlignment="1">
      <alignment horizontal="center"/>
    </xf>
    <xf numFmtId="0" fontId="30" fillId="16" borderId="28" xfId="0" applyFont="1" applyFill="1" applyBorder="1" applyAlignment="1">
      <alignment horizontal="left"/>
    </xf>
    <xf numFmtId="0" fontId="18" fillId="0" borderId="28" xfId="0" applyFont="1" applyFill="1" applyBorder="1" applyAlignment="1">
      <alignment vertical="center"/>
    </xf>
    <xf numFmtId="0" fontId="31" fillId="0" borderId="28" xfId="0" applyFont="1" applyFill="1" applyBorder="1" applyAlignment="1">
      <alignment vertical="center"/>
    </xf>
    <xf numFmtId="0" fontId="32" fillId="0" borderId="28" xfId="0" applyFont="1" applyFill="1" applyBorder="1"/>
    <xf numFmtId="0" fontId="33" fillId="0" borderId="28" xfId="0" applyFont="1" applyFill="1" applyBorder="1" applyAlignment="1">
      <alignment horizontal="center"/>
    </xf>
    <xf numFmtId="0" fontId="34" fillId="16" borderId="28" xfId="0" applyFont="1" applyFill="1" applyBorder="1" applyAlignment="1">
      <alignment horizontal="left"/>
    </xf>
    <xf numFmtId="0" fontId="31" fillId="0" borderId="28" xfId="0" applyFont="1" applyFill="1" applyBorder="1" applyAlignment="1">
      <alignment vertical="center" wrapText="1"/>
    </xf>
    <xf numFmtId="0" fontId="9" fillId="0" borderId="28" xfId="0" applyFont="1" applyFill="1" applyBorder="1"/>
    <xf numFmtId="0" fontId="35" fillId="0" borderId="28" xfId="0" applyFont="1" applyFill="1" applyBorder="1"/>
    <xf numFmtId="0" fontId="27" fillId="0" borderId="28" xfId="0" applyFont="1" applyFill="1" applyBorder="1" applyAlignment="1">
      <alignment horizontal="center"/>
    </xf>
    <xf numFmtId="0" fontId="36" fillId="16" borderId="28" xfId="0" applyFont="1" applyFill="1" applyBorder="1" applyAlignment="1">
      <alignment horizontal="left"/>
    </xf>
    <xf numFmtId="0" fontId="35" fillId="0" borderId="28" xfId="0" applyFont="1" applyFill="1" applyBorder="1" applyAlignment="1">
      <alignment vertical="center" wrapText="1"/>
    </xf>
    <xf numFmtId="0" fontId="26" fillId="18" borderId="28" xfId="0" applyFont="1" applyFill="1" applyBorder="1" applyAlignment="1">
      <alignment horizontal="center" vertical="center"/>
    </xf>
    <xf numFmtId="0" fontId="18" fillId="0" borderId="28" xfId="0" applyFont="1" applyFill="1" applyBorder="1" applyAlignment="1">
      <alignment vertical="center" wrapText="1"/>
    </xf>
    <xf numFmtId="0" fontId="18" fillId="0" borderId="28" xfId="3" applyFont="1" applyFill="1" applyBorder="1"/>
    <xf numFmtId="0" fontId="6" fillId="16" borderId="28" xfId="0" applyFont="1" applyFill="1" applyBorder="1" applyAlignment="1">
      <alignment horizontal="left"/>
    </xf>
    <xf numFmtId="0" fontId="37" fillId="16" borderId="28" xfId="0" applyFont="1" applyFill="1" applyBorder="1" applyAlignment="1">
      <alignment horizontal="left"/>
    </xf>
    <xf numFmtId="0" fontId="9" fillId="18" borderId="28" xfId="0" applyFont="1" applyFill="1" applyBorder="1"/>
    <xf numFmtId="0" fontId="11" fillId="18" borderId="30" xfId="0" applyFont="1" applyFill="1" applyBorder="1" applyAlignment="1"/>
    <xf numFmtId="0" fontId="9" fillId="8" borderId="28" xfId="0" applyFont="1" applyFill="1" applyBorder="1"/>
    <xf numFmtId="0" fontId="30" fillId="8" borderId="28" xfId="0" applyFont="1" applyFill="1" applyBorder="1" applyAlignment="1">
      <alignment horizontal="left"/>
    </xf>
    <xf numFmtId="0" fontId="31" fillId="20" borderId="28" xfId="0" applyFont="1" applyFill="1" applyBorder="1"/>
    <xf numFmtId="0" fontId="9" fillId="19" borderId="28" xfId="0" applyFont="1" applyFill="1" applyBorder="1"/>
    <xf numFmtId="0" fontId="9" fillId="19" borderId="29" xfId="0" applyFont="1" applyFill="1" applyBorder="1" applyAlignment="1">
      <alignment horizontal="center" vertical="center"/>
    </xf>
    <xf numFmtId="0" fontId="9" fillId="19" borderId="29" xfId="0" applyFont="1" applyFill="1" applyBorder="1" applyAlignment="1">
      <alignment horizontal="left" vertical="center"/>
    </xf>
    <xf numFmtId="0" fontId="9" fillId="19" borderId="30" xfId="0" applyFont="1" applyFill="1" applyBorder="1" applyAlignment="1">
      <alignment horizontal="left" vertical="center"/>
    </xf>
    <xf numFmtId="0" fontId="9" fillId="19" borderId="30" xfId="0" applyFont="1" applyFill="1" applyBorder="1" applyAlignment="1"/>
    <xf numFmtId="0" fontId="9" fillId="0" borderId="28" xfId="0" applyFont="1" applyBorder="1"/>
    <xf numFmtId="0" fontId="31" fillId="0" borderId="28" xfId="0" applyFont="1" applyBorder="1" applyAlignment="1">
      <alignment vertical="center" wrapText="1"/>
    </xf>
    <xf numFmtId="0" fontId="30" fillId="21" borderId="28" xfId="0" applyFont="1" applyFill="1" applyBorder="1" applyAlignment="1">
      <alignment horizontal="left"/>
    </xf>
    <xf numFmtId="0" fontId="9" fillId="21" borderId="28" xfId="0" applyFont="1" applyFill="1" applyBorder="1" applyAlignment="1">
      <alignment vertical="center" wrapText="1"/>
    </xf>
    <xf numFmtId="0" fontId="9" fillId="8" borderId="28" xfId="0" applyFont="1" applyFill="1" applyBorder="1" applyAlignment="1">
      <alignment vertical="center" wrapText="1"/>
    </xf>
    <xf numFmtId="0" fontId="35" fillId="0" borderId="28" xfId="0" applyFont="1" applyBorder="1"/>
    <xf numFmtId="0" fontId="35" fillId="0" borderId="28" xfId="0" applyFont="1" applyBorder="1" applyAlignment="1">
      <alignment vertical="center" wrapText="1"/>
    </xf>
    <xf numFmtId="0" fontId="36" fillId="16" borderId="29" xfId="0" applyFont="1" applyFill="1" applyBorder="1" applyAlignment="1">
      <alignment horizontal="left"/>
    </xf>
    <xf numFmtId="0" fontId="35" fillId="0" borderId="30" xfId="0" applyFont="1" applyBorder="1" applyAlignment="1">
      <alignment vertical="center" wrapText="1"/>
    </xf>
    <xf numFmtId="0" fontId="35" fillId="8" borderId="28" xfId="0" applyFont="1" applyFill="1" applyBorder="1"/>
    <xf numFmtId="0" fontId="36" fillId="8" borderId="29" xfId="0" applyFont="1" applyFill="1" applyBorder="1" applyAlignment="1">
      <alignment horizontal="left"/>
    </xf>
    <xf numFmtId="0" fontId="36" fillId="8" borderId="28" xfId="0" applyFont="1" applyFill="1" applyBorder="1" applyAlignment="1">
      <alignment horizontal="left"/>
    </xf>
    <xf numFmtId="0" fontId="35" fillId="8" borderId="30" xfId="0" applyFont="1" applyFill="1" applyBorder="1" applyAlignment="1">
      <alignment vertical="center" wrapText="1"/>
    </xf>
    <xf numFmtId="0" fontId="18" fillId="8" borderId="28" xfId="3" applyFont="1" applyFill="1" applyBorder="1"/>
    <xf numFmtId="0" fontId="0" fillId="0" borderId="29" xfId="0" applyFont="1" applyBorder="1" applyAlignment="1">
      <alignment horizontal="center" vertical="center"/>
    </xf>
    <xf numFmtId="0" fontId="30" fillId="16" borderId="31" xfId="0" applyFont="1" applyFill="1" applyBorder="1" applyAlignment="1">
      <alignment horizontal="left"/>
    </xf>
    <xf numFmtId="0" fontId="31" fillId="0" borderId="31" xfId="3" applyFont="1" applyFill="1" applyBorder="1"/>
    <xf numFmtId="0" fontId="31" fillId="0" borderId="28" xfId="3" applyFont="1" applyFill="1" applyBorder="1"/>
    <xf numFmtId="0" fontId="38" fillId="8" borderId="31" xfId="3" applyFont="1" applyFill="1" applyBorder="1"/>
    <xf numFmtId="0" fontId="9" fillId="0" borderId="28" xfId="3" applyFont="1" applyFill="1" applyBorder="1"/>
    <xf numFmtId="0" fontId="30" fillId="8" borderId="31" xfId="0" applyFont="1" applyFill="1" applyBorder="1" applyAlignment="1">
      <alignment horizontal="left"/>
    </xf>
    <xf numFmtId="0" fontId="31" fillId="20" borderId="31" xfId="3" applyFont="1" applyFill="1" applyBorder="1"/>
    <xf numFmtId="0" fontId="9" fillId="8" borderId="28" xfId="3" applyFont="1" applyFill="1" applyBorder="1"/>
    <xf numFmtId="0" fontId="9" fillId="8" borderId="31" xfId="3" applyFont="1" applyFill="1" applyBorder="1"/>
    <xf numFmtId="0" fontId="9" fillId="0" borderId="31" xfId="3" applyFont="1" applyFill="1" applyBorder="1"/>
    <xf numFmtId="0" fontId="18" fillId="8" borderId="28" xfId="0" applyFont="1" applyFill="1" applyBorder="1"/>
    <xf numFmtId="0" fontId="38" fillId="8" borderId="28" xfId="0" applyFont="1" applyFill="1" applyBorder="1"/>
    <xf numFmtId="0" fontId="30" fillId="19" borderId="30" xfId="0" applyFont="1" applyFill="1" applyBorder="1" applyAlignment="1"/>
    <xf numFmtId="0" fontId="18" fillId="0" borderId="28" xfId="0" applyFont="1" applyFill="1" applyBorder="1"/>
    <xf numFmtId="0" fontId="9" fillId="20" borderId="28" xfId="0" applyFont="1" applyFill="1" applyBorder="1"/>
    <xf numFmtId="0" fontId="30" fillId="20" borderId="28" xfId="0" applyFont="1" applyFill="1" applyBorder="1" applyAlignment="1">
      <alignment horizontal="left"/>
    </xf>
    <xf numFmtId="0" fontId="9" fillId="20" borderId="28" xfId="3" applyFont="1" applyFill="1" applyBorder="1"/>
    <xf numFmtId="0" fontId="18" fillId="20" borderId="28" xfId="3" applyFont="1" applyFill="1" applyBorder="1"/>
    <xf numFmtId="0" fontId="30" fillId="22" borderId="8" xfId="0" applyFont="1" applyFill="1" applyBorder="1" applyAlignment="1">
      <alignment vertical="center"/>
    </xf>
    <xf numFmtId="0" fontId="30" fillId="22" borderId="30" xfId="0" applyFont="1" applyFill="1" applyBorder="1" applyAlignment="1">
      <alignment vertical="center"/>
    </xf>
    <xf numFmtId="0" fontId="30" fillId="23" borderId="28" xfId="0" applyFont="1" applyFill="1" applyBorder="1" applyAlignment="1"/>
    <xf numFmtId="0" fontId="11" fillId="24" borderId="32" xfId="0" applyFont="1" applyFill="1" applyBorder="1" applyAlignment="1"/>
    <xf numFmtId="0" fontId="11" fillId="24" borderId="33" xfId="0" applyFont="1" applyFill="1" applyBorder="1" applyAlignment="1"/>
    <xf numFmtId="0" fontId="11" fillId="24" borderId="30" xfId="0" applyFont="1" applyFill="1" applyBorder="1" applyAlignment="1"/>
    <xf numFmtId="0" fontId="9" fillId="25" borderId="28" xfId="0" applyFont="1" applyFill="1" applyBorder="1"/>
    <xf numFmtId="0" fontId="0" fillId="25" borderId="29" xfId="0" applyFont="1" applyFill="1" applyBorder="1" applyAlignment="1">
      <alignment horizontal="center" vertical="center"/>
    </xf>
    <xf numFmtId="0" fontId="10" fillId="25" borderId="28" xfId="0" applyFont="1" applyFill="1" applyBorder="1" applyAlignment="1">
      <alignment horizontal="right"/>
    </xf>
    <xf numFmtId="0" fontId="10" fillId="25" borderId="29" xfId="0" applyFont="1" applyFill="1" applyBorder="1" applyAlignment="1">
      <alignment horizontal="right"/>
    </xf>
    <xf numFmtId="0" fontId="10" fillId="25" borderId="8" xfId="0" applyFont="1" applyFill="1" applyBorder="1" applyAlignment="1"/>
    <xf numFmtId="0" fontId="10" fillId="25" borderId="30" xfId="0" applyFont="1" applyFill="1" applyBorder="1" applyAlignment="1"/>
    <xf numFmtId="0" fontId="10" fillId="25" borderId="29" xfId="0" applyFont="1" applyFill="1" applyBorder="1" applyAlignment="1"/>
    <xf numFmtId="0" fontId="9" fillId="0" borderId="0" xfId="0" applyFont="1" applyBorder="1"/>
    <xf numFmtId="0" fontId="9" fillId="0" borderId="0" xfId="0" applyFont="1" applyBorder="1" applyAlignment="1">
      <alignment horizontal="center" vertical="center"/>
    </xf>
    <xf numFmtId="0" fontId="9" fillId="0" borderId="0" xfId="0" applyFont="1" applyBorder="1" applyAlignment="1">
      <alignment horizontal="left" vertical="center"/>
    </xf>
    <xf numFmtId="0" fontId="0" fillId="0" borderId="0" xfId="0" applyFont="1" applyFill="1" applyBorder="1" applyAlignment="1">
      <alignment horizontal="center" vertical="center"/>
    </xf>
    <xf numFmtId="0" fontId="30" fillId="26" borderId="0" xfId="0" applyFont="1" applyFill="1" applyBorder="1" applyAlignment="1"/>
    <xf numFmtId="0" fontId="30" fillId="27" borderId="28" xfId="0" applyFont="1" applyFill="1" applyBorder="1" applyAlignment="1">
      <alignment vertical="center" wrapText="1"/>
    </xf>
    <xf numFmtId="0" fontId="11" fillId="28" borderId="28"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0" fillId="0" borderId="0" xfId="0" applyFont="1" applyFill="1" applyAlignment="1">
      <alignment horizontal="center" vertical="center"/>
    </xf>
    <xf numFmtId="44" fontId="9" fillId="0" borderId="28" xfId="5" applyFont="1" applyBorder="1" applyAlignment="1">
      <alignment horizontal="center" vertical="center" wrapText="1"/>
    </xf>
    <xf numFmtId="0" fontId="9" fillId="0" borderId="28" xfId="0" applyFont="1" applyBorder="1" applyAlignment="1">
      <alignment horizontal="center" vertical="center" wrapText="1"/>
    </xf>
    <xf numFmtId="0" fontId="11" fillId="5" borderId="28" xfId="0" applyFont="1" applyFill="1" applyBorder="1" applyAlignment="1">
      <alignment horizontal="left" vertical="center"/>
    </xf>
    <xf numFmtId="169" fontId="11" fillId="18" borderId="28" xfId="0" applyNumberFormat="1" applyFont="1" applyFill="1" applyBorder="1" applyAlignment="1">
      <alignment vertical="center"/>
    </xf>
    <xf numFmtId="169" fontId="30" fillId="19" borderId="28" xfId="2" applyNumberFormat="1" applyFont="1" applyFill="1" applyBorder="1" applyAlignment="1">
      <alignment horizontal="center" vertical="center"/>
    </xf>
    <xf numFmtId="169" fontId="9" fillId="0" borderId="28" xfId="2" applyNumberFormat="1" applyFont="1" applyFill="1" applyBorder="1" applyAlignment="1">
      <alignment horizontal="center" vertical="center"/>
    </xf>
    <xf numFmtId="169" fontId="9" fillId="16" borderId="28" xfId="2" applyNumberFormat="1" applyFont="1" applyFill="1" applyBorder="1" applyAlignment="1">
      <alignment horizontal="center" vertical="center"/>
    </xf>
    <xf numFmtId="169" fontId="32" fillId="21" borderId="28" xfId="2" applyNumberFormat="1" applyFont="1" applyFill="1" applyBorder="1" applyAlignment="1">
      <alignment horizontal="center" vertical="center"/>
    </xf>
    <xf numFmtId="169" fontId="32" fillId="16" borderId="28" xfId="2" applyNumberFormat="1" applyFont="1" applyFill="1" applyBorder="1" applyAlignment="1">
      <alignment horizontal="center" vertical="center"/>
    </xf>
    <xf numFmtId="169" fontId="35" fillId="16" borderId="28" xfId="2" applyNumberFormat="1" applyFont="1" applyFill="1" applyBorder="1" applyAlignment="1">
      <alignment horizontal="center" vertical="center"/>
    </xf>
    <xf numFmtId="169" fontId="11" fillId="18" borderId="30" xfId="0" applyNumberFormat="1" applyFont="1" applyFill="1" applyBorder="1" applyAlignment="1">
      <alignment vertical="center"/>
    </xf>
    <xf numFmtId="169" fontId="9" fillId="0" borderId="28" xfId="2" applyNumberFormat="1" applyFont="1" applyBorder="1" applyAlignment="1">
      <alignment horizontal="center" vertical="center"/>
    </xf>
    <xf numFmtId="169" fontId="9" fillId="21" borderId="28" xfId="2" applyNumberFormat="1" applyFont="1" applyFill="1" applyBorder="1" applyAlignment="1">
      <alignment horizontal="center" vertical="center"/>
    </xf>
    <xf numFmtId="169" fontId="11" fillId="18" borderId="28" xfId="0" applyNumberFormat="1" applyFont="1" applyFill="1" applyBorder="1" applyAlignment="1">
      <alignment vertical="center" wrapText="1"/>
    </xf>
    <xf numFmtId="169" fontId="11" fillId="18" borderId="28" xfId="0" applyNumberFormat="1" applyFont="1" applyFill="1" applyBorder="1" applyAlignment="1">
      <alignment horizontal="left" vertical="center"/>
    </xf>
    <xf numFmtId="44" fontId="11" fillId="18" borderId="28" xfId="0" applyNumberFormat="1" applyFont="1" applyFill="1" applyBorder="1" applyAlignment="1"/>
    <xf numFmtId="44" fontId="9" fillId="16" borderId="28" xfId="5" applyFont="1" applyFill="1" applyBorder="1"/>
    <xf numFmtId="44" fontId="9" fillId="8" borderId="28" xfId="5" applyFont="1" applyFill="1" applyBorder="1"/>
    <xf numFmtId="44" fontId="9" fillId="19" borderId="30" xfId="0" applyNumberFormat="1" applyFont="1" applyFill="1" applyBorder="1" applyAlignment="1"/>
    <xf numFmtId="44" fontId="9" fillId="21" borderId="28" xfId="5" applyFont="1" applyFill="1" applyBorder="1"/>
    <xf numFmtId="44" fontId="35" fillId="16" borderId="28" xfId="5" applyFont="1" applyFill="1" applyBorder="1"/>
    <xf numFmtId="44" fontId="35" fillId="16" borderId="30" xfId="5" applyFont="1" applyFill="1" applyBorder="1"/>
    <xf numFmtId="169" fontId="9" fillId="16" borderId="28" xfId="2" applyNumberFormat="1" applyFont="1" applyFill="1" applyBorder="1" applyAlignment="1">
      <alignment horizontal="center" vertical="center" wrapText="1"/>
    </xf>
    <xf numFmtId="169" fontId="9" fillId="0" borderId="28" xfId="2" applyNumberFormat="1" applyFont="1" applyFill="1" applyBorder="1" applyAlignment="1">
      <alignment horizontal="center" vertical="center" wrapText="1"/>
    </xf>
    <xf numFmtId="44" fontId="38" fillId="8" borderId="28" xfId="5" applyFont="1" applyFill="1" applyBorder="1"/>
    <xf numFmtId="169" fontId="9" fillId="8" borderId="28" xfId="2" applyNumberFormat="1" applyFont="1" applyFill="1" applyBorder="1" applyAlignment="1">
      <alignment horizontal="center" vertical="center" wrapText="1"/>
    </xf>
    <xf numFmtId="44" fontId="9" fillId="0" borderId="28" xfId="5" applyFont="1" applyFill="1" applyBorder="1"/>
    <xf numFmtId="44" fontId="9" fillId="0" borderId="28" xfId="5" applyFont="1" applyBorder="1"/>
    <xf numFmtId="169" fontId="9" fillId="20" borderId="28" xfId="2" applyNumberFormat="1" applyFont="1" applyFill="1" applyBorder="1" applyAlignment="1">
      <alignment horizontal="center" vertical="center" wrapText="1"/>
    </xf>
    <xf numFmtId="44" fontId="9" fillId="22" borderId="28" xfId="5" applyFont="1" applyFill="1" applyBorder="1"/>
    <xf numFmtId="44" fontId="9" fillId="23" borderId="28" xfId="5" applyFont="1" applyFill="1" applyBorder="1"/>
    <xf numFmtId="170" fontId="11" fillId="24" borderId="28" xfId="0" applyNumberFormat="1" applyFont="1" applyFill="1" applyBorder="1" applyAlignment="1"/>
    <xf numFmtId="170" fontId="10" fillId="25" borderId="28" xfId="0" applyNumberFormat="1" applyFont="1" applyFill="1" applyBorder="1" applyAlignment="1"/>
    <xf numFmtId="0" fontId="30" fillId="26" borderId="34" xfId="0" applyFont="1" applyFill="1" applyBorder="1" applyAlignment="1"/>
    <xf numFmtId="0" fontId="11" fillId="28" borderId="28" xfId="0" applyFont="1" applyFill="1" applyBorder="1" applyAlignment="1">
      <alignment horizontal="left" vertical="center" wrapText="1"/>
    </xf>
    <xf numFmtId="168" fontId="9" fillId="0" borderId="28" xfId="1" applyNumberFormat="1" applyFont="1" applyBorder="1" applyAlignment="1">
      <alignment horizontal="center"/>
    </xf>
    <xf numFmtId="168" fontId="9" fillId="21" borderId="28" xfId="1" applyNumberFormat="1" applyFont="1" applyFill="1" applyBorder="1" applyAlignment="1">
      <alignment horizontal="center"/>
    </xf>
    <xf numFmtId="0" fontId="11" fillId="29" borderId="28" xfId="0" applyFont="1" applyFill="1" applyBorder="1" applyAlignment="1">
      <alignment horizontal="center" vertical="center" wrapText="1"/>
    </xf>
    <xf numFmtId="169" fontId="39" fillId="19" borderId="28" xfId="2" applyNumberFormat="1" applyFont="1" applyFill="1" applyBorder="1" applyAlignment="1">
      <alignment horizontal="center" vertical="center"/>
    </xf>
    <xf numFmtId="44" fontId="9" fillId="30" borderId="28" xfId="5" applyFont="1" applyFill="1" applyBorder="1" applyAlignment="1">
      <alignment horizontal="left" vertical="center" wrapText="1"/>
    </xf>
    <xf numFmtId="10" fontId="30" fillId="30" borderId="31" xfId="1" applyNumberFormat="1" applyFont="1" applyFill="1" applyBorder="1" applyAlignment="1">
      <alignment wrapText="1"/>
    </xf>
    <xf numFmtId="10" fontId="30" fillId="31" borderId="31" xfId="1" applyNumberFormat="1" applyFont="1" applyFill="1" applyBorder="1" applyAlignment="1">
      <alignment wrapText="1"/>
    </xf>
    <xf numFmtId="0" fontId="9" fillId="0" borderId="28" xfId="0" applyFont="1" applyBorder="1" applyAlignment="1">
      <alignment horizontal="right" vertical="center" wrapText="1"/>
    </xf>
    <xf numFmtId="0" fontId="40" fillId="0" borderId="28" xfId="0" applyFont="1" applyBorder="1" applyAlignment="1">
      <alignment horizontal="right" vertical="center" wrapText="1"/>
    </xf>
    <xf numFmtId="0" fontId="9" fillId="0" borderId="8" xfId="0" applyFont="1" applyBorder="1" applyAlignment="1">
      <alignment horizontal="right" vertical="center" wrapText="1"/>
    </xf>
    <xf numFmtId="169" fontId="0" fillId="0" borderId="0" xfId="0" applyNumberFormat="1"/>
    <xf numFmtId="0" fontId="11" fillId="5" borderId="35" xfId="0" applyFont="1" applyFill="1" applyBorder="1" applyAlignment="1">
      <alignment horizontal="center" vertical="center" wrapText="1"/>
    </xf>
    <xf numFmtId="44" fontId="40" fillId="0" borderId="28" xfId="5" applyFont="1" applyBorder="1"/>
    <xf numFmtId="164" fontId="41" fillId="8" borderId="9" xfId="4" applyNumberFormat="1" applyFont="1" applyFill="1" applyBorder="1" applyAlignment="1">
      <alignment vertical="center" wrapText="1"/>
    </xf>
    <xf numFmtId="164" fontId="41" fillId="8" borderId="20" xfId="4" applyNumberFormat="1" applyFont="1" applyFill="1" applyBorder="1" applyAlignment="1">
      <alignment vertical="center" wrapText="1"/>
    </xf>
    <xf numFmtId="164" fontId="41" fillId="8" borderId="9" xfId="4" applyFont="1" applyFill="1" applyBorder="1" applyAlignment="1">
      <alignment vertical="center" wrapText="1"/>
    </xf>
    <xf numFmtId="44" fontId="42" fillId="30" borderId="28" xfId="5" applyFont="1" applyFill="1" applyBorder="1" applyAlignment="1">
      <alignment horizontal="left" vertical="center" wrapText="1"/>
    </xf>
    <xf numFmtId="164" fontId="41" fillId="8" borderId="9" xfId="5" applyNumberFormat="1" applyFont="1" applyFill="1" applyBorder="1" applyAlignment="1">
      <alignment vertical="center" wrapText="1"/>
    </xf>
    <xf numFmtId="10" fontId="43" fillId="0" borderId="0" xfId="1" applyNumberFormat="1" applyFont="1"/>
    <xf numFmtId="10" fontId="44" fillId="0" borderId="0" xfId="1" applyNumberFormat="1" applyFont="1"/>
    <xf numFmtId="10" fontId="43" fillId="21" borderId="0" xfId="1" applyNumberFormat="1" applyFont="1" applyFill="1"/>
    <xf numFmtId="10" fontId="44" fillId="21" borderId="0" xfId="1" applyNumberFormat="1" applyFont="1" applyFill="1"/>
    <xf numFmtId="170" fontId="39" fillId="25" borderId="28" xfId="0" applyNumberFormat="1" applyFont="1" applyFill="1" applyBorder="1" applyAlignment="1"/>
    <xf numFmtId="0" fontId="27" fillId="7" borderId="28" xfId="0" applyFont="1" applyFill="1" applyBorder="1" applyAlignment="1">
      <alignment horizontal="center" vertical="center"/>
    </xf>
    <xf numFmtId="0" fontId="0" fillId="7" borderId="28" xfId="0" applyFont="1" applyFill="1" applyBorder="1" applyAlignment="1">
      <alignment horizontal="center" vertical="center"/>
    </xf>
    <xf numFmtId="0" fontId="27" fillId="7" borderId="8" xfId="0" applyFont="1" applyFill="1" applyBorder="1" applyAlignment="1">
      <alignment horizontal="center" vertical="center"/>
    </xf>
    <xf numFmtId="0" fontId="29" fillId="7" borderId="28" xfId="0" applyFont="1" applyFill="1" applyBorder="1" applyAlignment="1">
      <alignment horizontal="center"/>
    </xf>
    <xf numFmtId="0" fontId="27" fillId="7" borderId="28" xfId="0" applyFont="1" applyFill="1" applyBorder="1" applyAlignment="1">
      <alignment horizontal="center"/>
    </xf>
    <xf numFmtId="0" fontId="29" fillId="7" borderId="28" xfId="0" applyFont="1" applyFill="1" applyBorder="1" applyAlignment="1">
      <alignment horizontal="center" vertical="center"/>
    </xf>
    <xf numFmtId="0" fontId="33" fillId="7" borderId="28" xfId="0" applyFont="1" applyFill="1" applyBorder="1" applyAlignment="1">
      <alignment horizontal="center" vertical="center"/>
    </xf>
    <xf numFmtId="0" fontId="0" fillId="7" borderId="31" xfId="0" applyFont="1" applyFill="1" applyBorder="1" applyAlignment="1">
      <alignment horizontal="center"/>
    </xf>
    <xf numFmtId="0" fontId="0" fillId="7" borderId="28" xfId="0" applyFont="1" applyFill="1" applyBorder="1" applyAlignment="1">
      <alignment horizontal="center"/>
    </xf>
    <xf numFmtId="0" fontId="0" fillId="7" borderId="28" xfId="0" applyNumberFormat="1" applyFont="1" applyFill="1" applyBorder="1" applyAlignment="1">
      <alignment horizontal="center" vertical="center"/>
    </xf>
    <xf numFmtId="164" fontId="0" fillId="0" borderId="0" xfId="4" applyFont="1"/>
    <xf numFmtId="43" fontId="0" fillId="0" borderId="0" xfId="0" applyNumberFormat="1"/>
    <xf numFmtId="44" fontId="45" fillId="30" borderId="28" xfId="5" applyFont="1" applyFill="1" applyBorder="1" applyAlignment="1">
      <alignment horizontal="left" vertical="center" wrapText="1"/>
    </xf>
    <xf numFmtId="44" fontId="0" fillId="0" borderId="0" xfId="5" applyFont="1"/>
    <xf numFmtId="44" fontId="12" fillId="0" borderId="0" xfId="5" applyFont="1" applyFill="1"/>
    <xf numFmtId="44" fontId="25" fillId="0" borderId="0" xfId="5" applyFont="1" applyAlignment="1">
      <alignment horizontal="center" vertical="center" wrapText="1"/>
    </xf>
    <xf numFmtId="44" fontId="0" fillId="0" borderId="0" xfId="5" applyFont="1" applyAlignment="1">
      <alignment horizontal="center" vertical="center"/>
    </xf>
    <xf numFmtId="44" fontId="12" fillId="0" borderId="0" xfId="5" applyFont="1" applyFill="1" applyAlignment="1">
      <alignment horizontal="center" vertical="center"/>
    </xf>
    <xf numFmtId="44" fontId="46" fillId="0" borderId="0" xfId="5" applyFont="1" applyAlignment="1">
      <alignment horizontal="center" vertical="center"/>
    </xf>
    <xf numFmtId="9" fontId="25" fillId="0" borderId="0" xfId="1" applyFont="1" applyAlignment="1">
      <alignment horizontal="center" vertical="center" wrapText="1"/>
    </xf>
    <xf numFmtId="10" fontId="0" fillId="0" borderId="0" xfId="1" applyNumberFormat="1" applyFont="1"/>
    <xf numFmtId="164" fontId="47" fillId="8" borderId="1" xfId="0" applyNumberFormat="1" applyFont="1" applyFill="1" applyBorder="1" applyAlignment="1">
      <alignment vertical="center" wrapText="1"/>
    </xf>
    <xf numFmtId="165" fontId="23" fillId="0" borderId="1" xfId="4" applyNumberFormat="1" applyFont="1" applyFill="1" applyBorder="1" applyAlignment="1">
      <alignment vertical="center" wrapText="1"/>
    </xf>
    <xf numFmtId="165" fontId="28" fillId="0" borderId="1" xfId="4" applyNumberFormat="1" applyFont="1" applyFill="1" applyBorder="1" applyAlignment="1">
      <alignment vertical="center" wrapText="1"/>
    </xf>
    <xf numFmtId="9" fontId="28" fillId="0" borderId="1" xfId="1" applyFont="1" applyFill="1" applyBorder="1" applyAlignment="1">
      <alignment vertical="center" wrapText="1"/>
    </xf>
    <xf numFmtId="9" fontId="11" fillId="5" borderId="12" xfId="1" applyFont="1" applyFill="1" applyBorder="1" applyAlignment="1">
      <alignment horizontal="center" vertical="top" wrapText="1"/>
    </xf>
    <xf numFmtId="9" fontId="11" fillId="5" borderId="24" xfId="1" applyFont="1" applyFill="1" applyBorder="1" applyAlignment="1">
      <alignment horizontal="center" vertical="top" wrapText="1"/>
    </xf>
    <xf numFmtId="0" fontId="17" fillId="17" borderId="3" xfId="0" applyFont="1" applyFill="1" applyBorder="1" applyAlignment="1">
      <alignment horizontal="center"/>
    </xf>
    <xf numFmtId="0" fontId="17" fillId="17" borderId="2" xfId="0" applyFont="1" applyFill="1" applyBorder="1" applyAlignment="1">
      <alignment horizontal="center"/>
    </xf>
    <xf numFmtId="0" fontId="11" fillId="9" borderId="12" xfId="0" applyFont="1" applyFill="1" applyBorder="1" applyAlignment="1">
      <alignment horizontal="center" vertical="center" wrapText="1"/>
    </xf>
    <xf numFmtId="0" fontId="11" fillId="9" borderId="24" xfId="0" applyFont="1" applyFill="1" applyBorder="1" applyAlignment="1">
      <alignment horizontal="center" vertical="center"/>
    </xf>
    <xf numFmtId="0" fontId="11" fillId="14" borderId="12" xfId="0" applyFont="1" applyFill="1" applyBorder="1" applyAlignment="1">
      <alignment horizontal="center" vertical="center" wrapText="1"/>
    </xf>
    <xf numFmtId="0" fontId="11" fillId="14" borderId="24" xfId="0" applyFont="1" applyFill="1" applyBorder="1" applyAlignment="1">
      <alignment horizontal="center" vertical="center" wrapText="1"/>
    </xf>
    <xf numFmtId="0" fontId="11" fillId="5" borderId="12" xfId="0" applyFont="1" applyFill="1" applyBorder="1" applyAlignment="1">
      <alignment horizontal="center" vertical="top" wrapText="1"/>
    </xf>
    <xf numFmtId="0" fontId="11" fillId="5" borderId="24" xfId="0" applyFont="1" applyFill="1" applyBorder="1" applyAlignment="1">
      <alignment horizontal="center" vertical="top" wrapText="1"/>
    </xf>
    <xf numFmtId="0" fontId="11" fillId="5" borderId="12" xfId="0" applyFont="1" applyFill="1" applyBorder="1" applyAlignment="1">
      <alignment horizontal="center" wrapText="1"/>
    </xf>
    <xf numFmtId="0" fontId="11" fillId="5" borderId="24" xfId="0" applyFont="1" applyFill="1" applyBorder="1" applyAlignment="1">
      <alignment horizontal="center" wrapText="1"/>
    </xf>
    <xf numFmtId="0" fontId="17" fillId="0" borderId="3" xfId="0" applyFont="1" applyBorder="1" applyAlignment="1">
      <alignment horizontal="center"/>
    </xf>
    <xf numFmtId="0" fontId="17" fillId="0" borderId="4" xfId="0" applyFont="1" applyBorder="1" applyAlignment="1">
      <alignment horizontal="center"/>
    </xf>
    <xf numFmtId="0" fontId="17" fillId="0" borderId="2" xfId="0" applyFont="1" applyBorder="1" applyAlignment="1">
      <alignment horizont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7" xfId="0" applyFont="1" applyFill="1" applyBorder="1" applyAlignment="1">
      <alignment horizontal="center" vertical="center" wrapText="1"/>
    </xf>
    <xf numFmtId="164" fontId="4" fillId="2" borderId="0" xfId="4" applyNumberFormat="1" applyFont="1" applyFill="1" applyBorder="1" applyAlignment="1">
      <alignment horizontal="center" vertical="center" wrapText="1"/>
    </xf>
    <xf numFmtId="164" fontId="4" fillId="2" borderId="22" xfId="4" applyNumberFormat="1" applyFont="1" applyFill="1" applyBorder="1" applyAlignment="1">
      <alignment horizontal="center" vertical="center" wrapText="1"/>
    </xf>
    <xf numFmtId="0" fontId="17" fillId="16" borderId="3" xfId="0" applyFont="1" applyFill="1" applyBorder="1" applyAlignment="1">
      <alignment horizontal="center"/>
    </xf>
    <xf numFmtId="0" fontId="17" fillId="16" borderId="2" xfId="0" applyFont="1" applyFill="1" applyBorder="1" applyAlignment="1">
      <alignment horizontal="center"/>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9" fontId="15" fillId="5" borderId="3" xfId="1" applyFont="1" applyFill="1" applyBorder="1" applyAlignment="1">
      <alignment vertical="center" wrapText="1"/>
    </xf>
    <xf numFmtId="9" fontId="15" fillId="5" borderId="4" xfId="1" applyFont="1" applyFill="1" applyBorder="1" applyAlignment="1">
      <alignment vertical="center" wrapText="1"/>
    </xf>
    <xf numFmtId="9" fontId="15" fillId="5" borderId="10" xfId="1" applyFont="1" applyFill="1" applyBorder="1" applyAlignment="1">
      <alignment vertical="center" wrapText="1"/>
    </xf>
    <xf numFmtId="9" fontId="15" fillId="5" borderId="23" xfId="1" applyFont="1" applyFill="1" applyBorder="1" applyAlignment="1">
      <alignment vertical="center" wrapText="1"/>
    </xf>
    <xf numFmtId="0" fontId="15" fillId="5" borderId="3"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5" fillId="5" borderId="26" xfId="0" applyFont="1" applyFill="1" applyBorder="1" applyAlignment="1">
      <alignment horizontal="left" vertical="center" wrapText="1"/>
    </xf>
    <xf numFmtId="0" fontId="3" fillId="0" borderId="0" xfId="0" applyFont="1" applyAlignment="1">
      <alignment horizontal="center" wrapText="1"/>
    </xf>
    <xf numFmtId="49" fontId="19" fillId="0" borderId="12" xfId="4" applyNumberFormat="1" applyFont="1" applyBorder="1" applyAlignment="1">
      <alignment horizontal="left" vertical="center" wrapText="1"/>
    </xf>
    <xf numFmtId="49" fontId="19" fillId="0" borderId="25" xfId="4" applyNumberFormat="1" applyFont="1" applyBorder="1" applyAlignment="1">
      <alignment horizontal="left" vertical="center" wrapText="1"/>
    </xf>
    <xf numFmtId="49" fontId="19" fillId="0" borderId="24" xfId="4" applyNumberFormat="1" applyFont="1" applyBorder="1" applyAlignment="1">
      <alignment horizontal="left" vertical="center" wrapText="1"/>
    </xf>
    <xf numFmtId="0" fontId="7" fillId="0" borderId="0" xfId="0" applyFont="1" applyAlignment="1">
      <alignment horizontal="center" wrapText="1"/>
    </xf>
    <xf numFmtId="0" fontId="15" fillId="13" borderId="3" xfId="0" applyFont="1" applyFill="1" applyBorder="1" applyAlignment="1">
      <alignment horizontal="left" vertical="center" wrapText="1"/>
    </xf>
    <xf numFmtId="0" fontId="15" fillId="13" borderId="4" xfId="0" applyFont="1" applyFill="1" applyBorder="1" applyAlignment="1">
      <alignment horizontal="left" vertical="center" wrapText="1"/>
    </xf>
    <xf numFmtId="0" fontId="2" fillId="7" borderId="9" xfId="0" applyFont="1" applyFill="1" applyBorder="1" applyAlignment="1">
      <alignment horizontal="left" vertical="center" wrapText="1"/>
    </xf>
    <xf numFmtId="0" fontId="2" fillId="7" borderId="19" xfId="0" applyFont="1" applyFill="1" applyBorder="1" applyAlignment="1">
      <alignment horizontal="left" vertical="center" wrapText="1"/>
    </xf>
    <xf numFmtId="0" fontId="15" fillId="8" borderId="3" xfId="0" applyFont="1" applyFill="1" applyBorder="1" applyAlignment="1">
      <alignment horizontal="left" vertical="center" wrapText="1"/>
    </xf>
    <xf numFmtId="0" fontId="15" fillId="8" borderId="4" xfId="0" applyFont="1" applyFill="1" applyBorder="1" applyAlignment="1">
      <alignment horizontal="left" vertical="center" wrapText="1"/>
    </xf>
    <xf numFmtId="0" fontId="15" fillId="8" borderId="2" xfId="0" applyFont="1" applyFill="1" applyBorder="1" applyAlignment="1">
      <alignment horizontal="left" vertical="center" wrapText="1"/>
    </xf>
  </cellXfs>
  <cellStyles count="6">
    <cellStyle name="Comma" xfId="4" builtinId="3"/>
    <cellStyle name="Currency" xfId="5" builtinId="4"/>
    <cellStyle name="Komma 2" xfId="2" xr:uid="{00000000-0005-0000-0000-000002000000}"/>
    <cellStyle name="Normal" xfId="0" builtinId="0"/>
    <cellStyle name="Normal 15 2 2" xfId="3" xr:uid="{00000000-0005-0000-0000-000004000000}"/>
    <cellStyle name="Percent" xfId="1" builtinId="5"/>
  </cellStyles>
  <dxfs count="0"/>
  <tableStyles count="0" defaultTableStyle="TableStyleMedium2" defaultPivotStyle="PivotStyleLight16"/>
  <colors>
    <mruColors>
      <color rgb="FFFFBDBD"/>
      <color rgb="FFFF7979"/>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M22"/>
  <sheetViews>
    <sheetView tabSelected="1" topLeftCell="A7" zoomScale="90" zoomScaleNormal="90" workbookViewId="0">
      <selection activeCell="L10" sqref="L10"/>
    </sheetView>
  </sheetViews>
  <sheetFormatPr defaultColWidth="8.7109375" defaultRowHeight="15" x14ac:dyDescent="0.25"/>
  <cols>
    <col min="2" max="2" width="15.5703125" customWidth="1"/>
    <col min="3" max="3" width="11.5703125" customWidth="1"/>
    <col min="4" max="4" width="12.42578125" customWidth="1"/>
    <col min="5" max="5" width="11" customWidth="1"/>
    <col min="6" max="6" width="11.85546875" style="66" customWidth="1"/>
    <col min="7" max="7" width="12.42578125" style="68" customWidth="1"/>
    <col min="8" max="8" width="12.7109375" style="68" customWidth="1"/>
    <col min="9" max="9" width="13.28515625" customWidth="1"/>
    <col min="10" max="10" width="13.42578125" customWidth="1"/>
    <col min="11" max="11" width="13.85546875" customWidth="1"/>
    <col min="12" max="12" width="14" customWidth="1"/>
    <col min="13" max="13" width="13.5703125" style="120" customWidth="1"/>
  </cols>
  <sheetData>
    <row r="1" spans="1:13" ht="15.75" x14ac:dyDescent="0.25">
      <c r="B1" s="1" t="s">
        <v>19</v>
      </c>
    </row>
    <row r="2" spans="1:13" x14ac:dyDescent="0.25">
      <c r="B2" s="5"/>
    </row>
    <row r="3" spans="1:13" x14ac:dyDescent="0.25">
      <c r="B3" s="5" t="s">
        <v>18</v>
      </c>
    </row>
    <row r="4" spans="1:13" ht="15.75" thickBot="1" x14ac:dyDescent="0.3">
      <c r="B4" s="5"/>
    </row>
    <row r="5" spans="1:13" ht="15.75" customHeight="1" thickBot="1" x14ac:dyDescent="0.3">
      <c r="C5" s="323" t="s">
        <v>181</v>
      </c>
      <c r="D5" s="324"/>
      <c r="E5" s="324"/>
      <c r="F5" s="325"/>
      <c r="G5" s="333" t="s">
        <v>196</v>
      </c>
      <c r="H5" s="334"/>
      <c r="J5" s="313" t="s">
        <v>197</v>
      </c>
      <c r="K5" s="314"/>
    </row>
    <row r="6" spans="1:13" ht="26.25" customHeight="1" thickBot="1" x14ac:dyDescent="0.3">
      <c r="B6" s="326" t="s">
        <v>6</v>
      </c>
      <c r="C6" s="328" t="s">
        <v>78</v>
      </c>
      <c r="D6" s="329"/>
      <c r="E6" s="330"/>
      <c r="F6" s="331" t="s">
        <v>17</v>
      </c>
      <c r="G6" s="315" t="s">
        <v>179</v>
      </c>
      <c r="H6" s="317" t="s">
        <v>177</v>
      </c>
      <c r="I6" s="321" t="s">
        <v>180</v>
      </c>
      <c r="J6" s="315" t="s">
        <v>198</v>
      </c>
      <c r="K6" s="317" t="s">
        <v>177</v>
      </c>
      <c r="L6" s="319" t="s">
        <v>712</v>
      </c>
      <c r="M6" s="311" t="s">
        <v>713</v>
      </c>
    </row>
    <row r="7" spans="1:13" ht="26.25" thickBot="1" x14ac:dyDescent="0.3">
      <c r="B7" s="327"/>
      <c r="C7" s="2" t="s">
        <v>79</v>
      </c>
      <c r="D7" s="2" t="s">
        <v>80</v>
      </c>
      <c r="E7" s="2" t="s">
        <v>81</v>
      </c>
      <c r="F7" s="332"/>
      <c r="G7" s="316"/>
      <c r="H7" s="318"/>
      <c r="I7" s="322"/>
      <c r="J7" s="316"/>
      <c r="K7" s="318"/>
      <c r="L7" s="320"/>
      <c r="M7" s="312"/>
    </row>
    <row r="8" spans="1:13" ht="26.25" thickBot="1" x14ac:dyDescent="0.3">
      <c r="A8">
        <v>1</v>
      </c>
      <c r="B8" s="3" t="s">
        <v>8</v>
      </c>
      <c r="C8" s="52">
        <f>ROUNDUP(F8*0.35,0.6)</f>
        <v>137720</v>
      </c>
      <c r="D8" s="52">
        <f>ROUNDUP(F8*0.35,0.6)</f>
        <v>137720</v>
      </c>
      <c r="E8" s="52">
        <f>+ROUNDDOWN(F8*0.3,-0.2)</f>
        <v>118045</v>
      </c>
      <c r="F8" s="52">
        <v>393485</v>
      </c>
      <c r="G8" s="130">
        <v>374320</v>
      </c>
      <c r="H8" s="103">
        <f>(F8-G8)/F8</f>
        <v>4.87057956465939E-2</v>
      </c>
      <c r="I8" s="308">
        <v>144126.88</v>
      </c>
      <c r="J8" s="134">
        <v>450440.45</v>
      </c>
      <c r="K8" s="131">
        <f>(F8-J8)/F8</f>
        <v>-0.14474617838037032</v>
      </c>
      <c r="L8" s="309">
        <f>SUMIF('BFU Report up to 31.10.20'!E:E,A8,'BFU Report up to 31.10.20'!H:H)</f>
        <v>422918.94000000006</v>
      </c>
      <c r="M8" s="310">
        <f>L8/J8</f>
        <v>0.9389008913386887</v>
      </c>
    </row>
    <row r="9" spans="1:13" ht="39" thickBot="1" x14ac:dyDescent="0.3">
      <c r="A9">
        <v>2</v>
      </c>
      <c r="B9" s="3" t="s">
        <v>9</v>
      </c>
      <c r="C9" s="52">
        <f>ROUNDUP(F9*0.35,0.1)</f>
        <v>26101</v>
      </c>
      <c r="D9" s="52">
        <f>ROUNDUP(F9*0.35,0.1)</f>
        <v>26101</v>
      </c>
      <c r="E9" s="52">
        <f>ROUNDDOWN(F9*0.3,-0.2)</f>
        <v>22372</v>
      </c>
      <c r="F9" s="52">
        <f>+ROUNDDOWN(74574.13,-0.13)</f>
        <v>74574</v>
      </c>
      <c r="G9" s="105">
        <v>80757.440000000002</v>
      </c>
      <c r="H9" s="103">
        <f t="shared" ref="H9:H16" si="0">(F9-G9)/F9</f>
        <v>-8.2916834285407817E-2</v>
      </c>
      <c r="I9" s="308">
        <v>6297.07</v>
      </c>
      <c r="J9" s="134">
        <v>79726.89</v>
      </c>
      <c r="K9" s="131">
        <f t="shared" ref="K9:K16" si="1">(F9-J9)/F9</f>
        <v>-6.9097674792823222E-2</v>
      </c>
      <c r="L9" s="309">
        <f>SUMIF('BFU Report up to 31.10.20'!E:E,A9,'BFU Report up to 31.10.20'!H:H)</f>
        <v>66168.97</v>
      </c>
      <c r="M9" s="310">
        <f t="shared" ref="M9:M17" si="2">L9/J9</f>
        <v>0.8299454550403258</v>
      </c>
    </row>
    <row r="10" spans="1:13" ht="64.5" thickBot="1" x14ac:dyDescent="0.3">
      <c r="A10">
        <v>3</v>
      </c>
      <c r="B10" s="3" t="s">
        <v>10</v>
      </c>
      <c r="C10" s="52">
        <f>ROUNDUP(F10*0.35,-0.5)</f>
        <v>19975</v>
      </c>
      <c r="D10" s="52">
        <f>ROUNDUP(F10*0.35,-0.5)</f>
        <v>19975</v>
      </c>
      <c r="E10" s="52">
        <f>+ROUNDDOWN(F10*0.3,-1)</f>
        <v>17120</v>
      </c>
      <c r="F10" s="52">
        <v>57070</v>
      </c>
      <c r="G10" s="105">
        <v>55958</v>
      </c>
      <c r="H10" s="103">
        <f t="shared" si="0"/>
        <v>1.9484843175048186E-2</v>
      </c>
      <c r="I10" s="308">
        <v>11511.86</v>
      </c>
      <c r="J10" s="134">
        <v>48852</v>
      </c>
      <c r="K10" s="131">
        <f t="shared" si="1"/>
        <v>0.14399859821272121</v>
      </c>
      <c r="L10" s="309">
        <f>SUMIF('BFU Report up to 31.10.20'!E:E,A10,'BFU Report up to 31.10.20'!H:H)</f>
        <v>30514.61</v>
      </c>
      <c r="M10" s="310">
        <f t="shared" si="2"/>
        <v>0.62463379186113155</v>
      </c>
    </row>
    <row r="11" spans="1:13" ht="26.25" thickBot="1" x14ac:dyDescent="0.3">
      <c r="A11">
        <v>4</v>
      </c>
      <c r="B11" s="3" t="s">
        <v>11</v>
      </c>
      <c r="C11" s="52">
        <f>ROUNDUP(F11*0.35,0.3)</f>
        <v>16383</v>
      </c>
      <c r="D11" s="52">
        <f>ROUNDUP(F11*0.35,0.3)</f>
        <v>16383</v>
      </c>
      <c r="E11" s="52">
        <f>ROUNDDOWN(F11*0.3,-0.4)</f>
        <v>14042</v>
      </c>
      <c r="F11" s="52">
        <v>46808</v>
      </c>
      <c r="G11" s="105">
        <v>48394.5</v>
      </c>
      <c r="H11" s="103">
        <f t="shared" si="0"/>
        <v>-3.3893778841223722E-2</v>
      </c>
      <c r="I11" s="308">
        <v>31958.09</v>
      </c>
      <c r="J11" s="134">
        <v>53582.7</v>
      </c>
      <c r="K11" s="131">
        <f t="shared" si="1"/>
        <v>-0.14473380618697651</v>
      </c>
      <c r="L11" s="309">
        <f>SUMIF('BFU Report up to 31.10.20'!E:E,A11,'BFU Report up to 31.10.20'!H:H)</f>
        <v>59017.700000000004</v>
      </c>
      <c r="M11" s="310">
        <f t="shared" si="2"/>
        <v>1.1014319920422078</v>
      </c>
    </row>
    <row r="12" spans="1:13" ht="15.75" thickBot="1" x14ac:dyDescent="0.3">
      <c r="A12">
        <v>5</v>
      </c>
      <c r="B12" s="3" t="s">
        <v>12</v>
      </c>
      <c r="C12" s="52">
        <f>+ROUNDUP(F12*0.35,0.3)</f>
        <v>15533</v>
      </c>
      <c r="D12" s="52">
        <f>+ROUNDUP(F12*0.35,0.3)</f>
        <v>15533</v>
      </c>
      <c r="E12" s="52">
        <f>+ROUNDDOWN(F12*0.3,-0.7)</f>
        <v>13313</v>
      </c>
      <c r="F12" s="52">
        <v>44379</v>
      </c>
      <c r="G12" s="105">
        <v>47885</v>
      </c>
      <c r="H12" s="103">
        <f t="shared" si="0"/>
        <v>-7.9001329457626349E-2</v>
      </c>
      <c r="I12" s="308">
        <v>13107.6</v>
      </c>
      <c r="J12" s="134">
        <v>50668</v>
      </c>
      <c r="K12" s="131">
        <f t="shared" si="1"/>
        <v>-0.1417111696973794</v>
      </c>
      <c r="L12" s="309">
        <f>SUMIF('BFU Report up to 31.10.20'!E:E,A12,'BFU Report up to 31.10.20'!H:H)</f>
        <v>50551.240000000005</v>
      </c>
      <c r="M12" s="310">
        <f t="shared" si="2"/>
        <v>0.99769558695823801</v>
      </c>
    </row>
    <row r="13" spans="1:13" ht="39" thickBot="1" x14ac:dyDescent="0.3">
      <c r="A13">
        <v>6</v>
      </c>
      <c r="B13" s="3" t="s">
        <v>13</v>
      </c>
      <c r="C13" s="52">
        <f>F13*0.35</f>
        <v>0</v>
      </c>
      <c r="D13" s="52">
        <f>F13*0.35</f>
        <v>0</v>
      </c>
      <c r="E13" s="52">
        <f>F13*0.3</f>
        <v>0</v>
      </c>
      <c r="F13" s="52">
        <v>0</v>
      </c>
      <c r="G13" s="105">
        <v>0</v>
      </c>
      <c r="H13" s="104">
        <v>0</v>
      </c>
      <c r="I13" s="107">
        <v>0</v>
      </c>
      <c r="J13" s="134">
        <v>0</v>
      </c>
      <c r="K13" s="131">
        <v>0</v>
      </c>
      <c r="L13" s="308">
        <f>SUMIF('BFU Report up to 31.10.20'!E:E,A13,'BFU Report up to 31.10.20'!H:H)</f>
        <v>0</v>
      </c>
      <c r="M13" s="310">
        <v>0</v>
      </c>
    </row>
    <row r="14" spans="1:13" ht="39" thickBot="1" x14ac:dyDescent="0.3">
      <c r="A14">
        <v>7</v>
      </c>
      <c r="B14" s="3" t="s">
        <v>14</v>
      </c>
      <c r="C14" s="52">
        <f>ROUNDUP(F14*0.35,0.2)</f>
        <v>193168</v>
      </c>
      <c r="D14" s="52">
        <f>ROUNDUP(F14*0.35,0.2)</f>
        <v>193168</v>
      </c>
      <c r="E14" s="52">
        <f>ROUNDDOWN(F14*0.3,-0.4)</f>
        <v>165572</v>
      </c>
      <c r="F14" s="52">
        <v>551908</v>
      </c>
      <c r="G14" s="130">
        <v>556685.06000000006</v>
      </c>
      <c r="H14" s="103">
        <f t="shared" si="0"/>
        <v>-8.655536792364046E-3</v>
      </c>
      <c r="I14" s="107">
        <v>123787</v>
      </c>
      <c r="J14" s="134">
        <v>484954.25</v>
      </c>
      <c r="K14" s="131">
        <f t="shared" si="1"/>
        <v>0.12131324423635824</v>
      </c>
      <c r="L14" s="309">
        <f>SUMIF('BFU Report up to 31.10.20'!E:E,A14,'BFU Report up to 31.10.20'!H:H)</f>
        <v>451724.98999999993</v>
      </c>
      <c r="M14" s="310">
        <f t="shared" si="2"/>
        <v>0.93147959833324467</v>
      </c>
    </row>
    <row r="15" spans="1:13" ht="26.25" thickBot="1" x14ac:dyDescent="0.3">
      <c r="B15" s="4" t="s">
        <v>15</v>
      </c>
      <c r="C15" s="14">
        <f>SUM(C8:C14)</f>
        <v>408880</v>
      </c>
      <c r="D15" s="14">
        <f>SUM(D8:D14)</f>
        <v>408880</v>
      </c>
      <c r="E15" s="14">
        <f>SUM(E8:E14)</f>
        <v>350464</v>
      </c>
      <c r="F15" s="14">
        <f>SUM(F8:F14)</f>
        <v>1168224</v>
      </c>
      <c r="G15" s="77">
        <f>SUM(G8:G14)</f>
        <v>1164000</v>
      </c>
      <c r="H15" s="89"/>
      <c r="I15" s="106">
        <f>SUM(I8:I14)</f>
        <v>330788.5</v>
      </c>
      <c r="J15" s="77">
        <f>SUM(J8:J14)</f>
        <v>1168224.29</v>
      </c>
      <c r="K15" s="132"/>
      <c r="L15" s="79">
        <f>SUM(L8:L14)</f>
        <v>1080896.45</v>
      </c>
      <c r="M15" s="310">
        <f t="shared" si="2"/>
        <v>0.9252473683799195</v>
      </c>
    </row>
    <row r="16" spans="1:13" ht="39" thickBot="1" x14ac:dyDescent="0.3">
      <c r="A16">
        <v>8</v>
      </c>
      <c r="B16" s="3" t="s">
        <v>16</v>
      </c>
      <c r="C16" s="13">
        <f>81776*0.35</f>
        <v>28621.599999999999</v>
      </c>
      <c r="D16" s="13">
        <f>81776*0.35</f>
        <v>28621.599999999999</v>
      </c>
      <c r="E16" s="52">
        <f>ROUNDDOWN(F16*0.3,-0.4)</f>
        <v>24532</v>
      </c>
      <c r="F16" s="52">
        <v>81776</v>
      </c>
      <c r="G16" s="105">
        <v>86000</v>
      </c>
      <c r="H16" s="103">
        <f t="shared" si="0"/>
        <v>-5.1653296810800234E-2</v>
      </c>
      <c r="I16" s="88"/>
      <c r="J16" s="105">
        <v>81775.7</v>
      </c>
      <c r="K16" s="131">
        <f t="shared" si="1"/>
        <v>3.6685580121662883E-6</v>
      </c>
      <c r="L16" s="309">
        <f>SUMIF('BFU Report up to 31.10.20'!E:E,A16,'BFU Report up to 31.10.20'!H:H)</f>
        <v>75252.442999999999</v>
      </c>
      <c r="M16" s="310">
        <f t="shared" si="2"/>
        <v>0.92022988491691304</v>
      </c>
    </row>
    <row r="17" spans="2:13" s="5" customFormat="1" ht="15.75" thickBot="1" x14ac:dyDescent="0.3">
      <c r="B17" s="4" t="s">
        <v>7</v>
      </c>
      <c r="C17" s="32">
        <f>SUM(C15:C16)</f>
        <v>437501.6</v>
      </c>
      <c r="D17" s="32">
        <f>SUM(D15:D16)</f>
        <v>437501.6</v>
      </c>
      <c r="E17" s="32">
        <f>SUM(E15:E16)</f>
        <v>374996</v>
      </c>
      <c r="F17" s="32">
        <f>SUM(F15:F16)</f>
        <v>1250000</v>
      </c>
      <c r="G17" s="78">
        <f>SUM(G15:G16)</f>
        <v>1250000</v>
      </c>
      <c r="H17" s="90"/>
      <c r="I17" s="79"/>
      <c r="J17" s="78">
        <f>SUM(J15:J16)</f>
        <v>1249999.99</v>
      </c>
      <c r="K17" s="133">
        <f>(G17-J17)/G17</f>
        <v>8.0000000074505801E-9</v>
      </c>
      <c r="L17" s="79">
        <f>SUM(L15:L16)</f>
        <v>1156148.8929999999</v>
      </c>
      <c r="M17" s="310">
        <f t="shared" si="2"/>
        <v>0.92491912179935287</v>
      </c>
    </row>
    <row r="19" spans="2:13" x14ac:dyDescent="0.25">
      <c r="K19" s="135"/>
      <c r="L19" s="296"/>
    </row>
    <row r="20" spans="2:13" x14ac:dyDescent="0.25">
      <c r="K20" s="120"/>
    </row>
    <row r="21" spans="2:13" x14ac:dyDescent="0.25">
      <c r="G21" s="102"/>
      <c r="L21" s="297"/>
    </row>
    <row r="22" spans="2:13" x14ac:dyDescent="0.25">
      <c r="G22" s="101"/>
    </row>
  </sheetData>
  <mergeCells count="13">
    <mergeCell ref="I6:I7"/>
    <mergeCell ref="H6:H7"/>
    <mergeCell ref="C5:F5"/>
    <mergeCell ref="B6:B7"/>
    <mergeCell ref="C6:E6"/>
    <mergeCell ref="F6:F7"/>
    <mergeCell ref="G6:G7"/>
    <mergeCell ref="G5:H5"/>
    <mergeCell ref="M6:M7"/>
    <mergeCell ref="J5:K5"/>
    <mergeCell ref="J6:J7"/>
    <mergeCell ref="K6:K7"/>
    <mergeCell ref="L6:L7"/>
  </mergeCells>
  <pageMargins left="0.25" right="0.25" top="0.75" bottom="0.75" header="0.3" footer="0.3"/>
  <pageSetup fitToHeight="0" orientation="landscape" r:id="rId1"/>
  <ignoredErrors>
    <ignoredError sqref="E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K96"/>
  <sheetViews>
    <sheetView zoomScale="80" zoomScaleNormal="80" workbookViewId="0">
      <selection activeCell="B5" sqref="B5"/>
    </sheetView>
  </sheetViews>
  <sheetFormatPr defaultColWidth="8.7109375" defaultRowHeight="15" x14ac:dyDescent="0.25"/>
  <cols>
    <col min="1" max="1" width="24" style="8" customWidth="1"/>
    <col min="2" max="2" width="71.42578125" style="11" customWidth="1"/>
    <col min="3" max="3" width="12" style="53" customWidth="1"/>
    <col min="4" max="4" width="11.7109375" style="53" customWidth="1"/>
    <col min="5" max="5" width="10.5703125" style="53" customWidth="1"/>
    <col min="6" max="6" width="12.42578125" customWidth="1"/>
    <col min="7" max="7" width="16.7109375" style="91" customWidth="1"/>
    <col min="8" max="8" width="55.5703125" customWidth="1"/>
    <col min="9" max="9" width="12.7109375" style="302" bestFit="1" customWidth="1"/>
    <col min="10" max="10" width="17.140625" style="299" customWidth="1"/>
    <col min="11" max="11" width="9.140625" customWidth="1"/>
  </cols>
  <sheetData>
    <row r="1" spans="1:11" ht="45" customHeight="1" x14ac:dyDescent="0.35">
      <c r="A1" s="351" t="s">
        <v>0</v>
      </c>
      <c r="B1" s="351"/>
    </row>
    <row r="2" spans="1:11" ht="15.75" x14ac:dyDescent="0.25">
      <c r="A2" s="7"/>
      <c r="B2" s="10"/>
    </row>
    <row r="3" spans="1:11" ht="60" customHeight="1" x14ac:dyDescent="0.25">
      <c r="A3" s="347" t="s">
        <v>18</v>
      </c>
      <c r="B3" s="347"/>
      <c r="C3" s="347"/>
      <c r="D3" s="67"/>
      <c r="E3" s="100"/>
    </row>
    <row r="5" spans="1:11" ht="47.25" x14ac:dyDescent="0.25">
      <c r="A5" s="7" t="s">
        <v>20</v>
      </c>
    </row>
    <row r="6" spans="1:11" ht="15.75" thickBot="1" x14ac:dyDescent="0.3"/>
    <row r="7" spans="1:11" ht="138.75" customHeight="1" thickBot="1" x14ac:dyDescent="0.3">
      <c r="A7" s="33" t="s">
        <v>1</v>
      </c>
      <c r="B7" s="34" t="s">
        <v>2</v>
      </c>
      <c r="C7" s="116" t="s">
        <v>103</v>
      </c>
      <c r="D7" s="87" t="s">
        <v>188</v>
      </c>
      <c r="E7" s="87" t="s">
        <v>189</v>
      </c>
      <c r="F7" s="35" t="s">
        <v>125</v>
      </c>
      <c r="G7" s="92" t="s">
        <v>21</v>
      </c>
      <c r="H7" s="35" t="s">
        <v>5</v>
      </c>
      <c r="I7" s="304"/>
      <c r="J7" s="304"/>
      <c r="K7" s="306"/>
    </row>
    <row r="8" spans="1:11" ht="45" customHeight="1" thickBot="1" x14ac:dyDescent="0.3">
      <c r="A8" s="339" t="s">
        <v>83</v>
      </c>
      <c r="B8" s="340"/>
      <c r="C8" s="341"/>
      <c r="D8" s="341"/>
      <c r="E8" s="341"/>
      <c r="F8" s="341"/>
      <c r="G8" s="341"/>
      <c r="H8" s="342"/>
    </row>
    <row r="9" spans="1:11" ht="92.25" customHeight="1" thickBot="1" x14ac:dyDescent="0.3">
      <c r="A9" s="36" t="s">
        <v>82</v>
      </c>
      <c r="B9" s="37" t="s">
        <v>104</v>
      </c>
      <c r="C9" s="54">
        <f>SUM(C10:C12)</f>
        <v>467669</v>
      </c>
      <c r="D9" s="54">
        <f t="shared" ref="D9:E9" si="0">SUM(D10:D12)</f>
        <v>0</v>
      </c>
      <c r="E9" s="54">
        <f t="shared" si="0"/>
        <v>0</v>
      </c>
      <c r="F9" s="38">
        <v>0.5</v>
      </c>
      <c r="G9" s="121">
        <f>SUM(G10:G12)</f>
        <v>397669</v>
      </c>
      <c r="H9" s="127" t="s">
        <v>195</v>
      </c>
      <c r="I9" s="305"/>
    </row>
    <row r="10" spans="1:11" ht="48" thickBot="1" x14ac:dyDescent="0.3">
      <c r="A10" s="9" t="s">
        <v>84</v>
      </c>
      <c r="B10" s="12" t="s">
        <v>105</v>
      </c>
      <c r="C10" s="55">
        <f>ROUNDUP(52846.63,0.7)</f>
        <v>52847</v>
      </c>
      <c r="D10" s="74"/>
      <c r="E10" s="74"/>
      <c r="F10" s="82" t="s">
        <v>176</v>
      </c>
      <c r="G10" s="278">
        <v>52847</v>
      </c>
      <c r="H10" s="123" t="s">
        <v>193</v>
      </c>
    </row>
    <row r="11" spans="1:11" ht="44.25" customHeight="1" thickBot="1" x14ac:dyDescent="0.3">
      <c r="A11" s="9" t="s">
        <v>85</v>
      </c>
      <c r="B11" s="12" t="s">
        <v>106</v>
      </c>
      <c r="C11" s="55">
        <f>ROUNDDOWN(33672.2,-0.2)</f>
        <v>33672</v>
      </c>
      <c r="D11" s="74"/>
      <c r="E11" s="74"/>
      <c r="F11" s="82" t="s">
        <v>176</v>
      </c>
      <c r="G11" s="278">
        <v>33672</v>
      </c>
      <c r="H11" s="123" t="s">
        <v>194</v>
      </c>
    </row>
    <row r="12" spans="1:11" ht="48" thickBot="1" x14ac:dyDescent="0.3">
      <c r="A12" s="9" t="s">
        <v>86</v>
      </c>
      <c r="B12" s="12" t="s">
        <v>107</v>
      </c>
      <c r="C12" s="55">
        <f>ROUNDDOWN(381150.47,-1)</f>
        <v>381150</v>
      </c>
      <c r="D12" s="74"/>
      <c r="E12" s="74"/>
      <c r="F12" s="82" t="s">
        <v>176</v>
      </c>
      <c r="G12" s="278">
        <v>311150</v>
      </c>
      <c r="H12" s="123"/>
    </row>
    <row r="13" spans="1:11" ht="32.25" thickBot="1" x14ac:dyDescent="0.3">
      <c r="A13" s="36" t="s">
        <v>87</v>
      </c>
      <c r="B13" s="39" t="s">
        <v>108</v>
      </c>
      <c r="C13" s="56">
        <f>SUM(C14:C16)</f>
        <v>69309</v>
      </c>
      <c r="D13" s="56">
        <f t="shared" ref="D13:E13" si="1">SUM(D14:D16)</f>
        <v>0</v>
      </c>
      <c r="E13" s="56">
        <f t="shared" si="1"/>
        <v>0</v>
      </c>
      <c r="F13" s="38">
        <v>0.5</v>
      </c>
      <c r="G13" s="122">
        <f>SUM(G14:G16)</f>
        <v>55809</v>
      </c>
      <c r="H13" s="49"/>
      <c r="I13" s="305"/>
    </row>
    <row r="14" spans="1:11" ht="32.25" thickBot="1" x14ac:dyDescent="0.3">
      <c r="A14" s="9" t="s">
        <v>88</v>
      </c>
      <c r="B14" s="12" t="s">
        <v>109</v>
      </c>
      <c r="C14" s="55">
        <f>+ROUNDUP(24347.88,0.2)</f>
        <v>24348</v>
      </c>
      <c r="D14" s="74"/>
      <c r="E14" s="74"/>
      <c r="F14" s="82" t="s">
        <v>176</v>
      </c>
      <c r="G14" s="278">
        <v>22848</v>
      </c>
      <c r="H14" s="123"/>
    </row>
    <row r="15" spans="1:11" ht="48" thickBot="1" x14ac:dyDescent="0.3">
      <c r="A15" s="9" t="s">
        <v>89</v>
      </c>
      <c r="B15" s="12" t="s">
        <v>110</v>
      </c>
      <c r="C15" s="55">
        <f>+ROUNDUP(21083.4899999999,0.5)</f>
        <v>21084</v>
      </c>
      <c r="D15" s="74"/>
      <c r="E15" s="74"/>
      <c r="F15" s="82" t="s">
        <v>176</v>
      </c>
      <c r="G15" s="278">
        <v>16084</v>
      </c>
      <c r="H15" s="123"/>
    </row>
    <row r="16" spans="1:11" ht="32.25" thickBot="1" x14ac:dyDescent="0.3">
      <c r="A16" s="9" t="s">
        <v>90</v>
      </c>
      <c r="B16" s="12" t="s">
        <v>111</v>
      </c>
      <c r="C16" s="55">
        <f>+ROUNDUP(23876.58,0.2)</f>
        <v>23877</v>
      </c>
      <c r="D16" s="74"/>
      <c r="E16" s="74"/>
      <c r="F16" s="82" t="s">
        <v>176</v>
      </c>
      <c r="G16" s="278">
        <v>16877</v>
      </c>
      <c r="H16" s="48"/>
    </row>
    <row r="17" spans="1:10" ht="48" thickBot="1" x14ac:dyDescent="0.3">
      <c r="A17" s="36" t="s">
        <v>91</v>
      </c>
      <c r="B17" s="39" t="s">
        <v>112</v>
      </c>
      <c r="C17" s="56">
        <f>SUM(C18:C20)</f>
        <v>218125</v>
      </c>
      <c r="D17" s="56">
        <f t="shared" ref="D17:E17" si="2">SUM(D18:D20)</f>
        <v>0</v>
      </c>
      <c r="E17" s="56">
        <f t="shared" si="2"/>
        <v>0</v>
      </c>
      <c r="F17" s="38">
        <v>0.4</v>
      </c>
      <c r="G17" s="122">
        <f>SUM(G18:G20)</f>
        <v>178125</v>
      </c>
      <c r="H17" s="49"/>
      <c r="I17" s="305"/>
    </row>
    <row r="18" spans="1:10" ht="63.75" thickBot="1" x14ac:dyDescent="0.3">
      <c r="A18" s="9" t="s">
        <v>92</v>
      </c>
      <c r="B18" s="12" t="s">
        <v>113</v>
      </c>
      <c r="C18" s="55">
        <f>ROUNDDOWN(50234.01,-0.1)</f>
        <v>50234</v>
      </c>
      <c r="D18" s="74"/>
      <c r="E18" s="74"/>
      <c r="F18" s="82" t="s">
        <v>176</v>
      </c>
      <c r="G18" s="278">
        <v>40234</v>
      </c>
      <c r="H18" s="48"/>
    </row>
    <row r="19" spans="1:10" ht="48" thickBot="1" x14ac:dyDescent="0.3">
      <c r="A19" s="9" t="s">
        <v>93</v>
      </c>
      <c r="B19" s="12" t="s">
        <v>114</v>
      </c>
      <c r="C19" s="55">
        <f>ROUNDUP(41384.72,0.8)</f>
        <v>41385</v>
      </c>
      <c r="D19" s="74"/>
      <c r="E19" s="74"/>
      <c r="F19" s="82" t="s">
        <v>176</v>
      </c>
      <c r="G19" s="278">
        <v>31385</v>
      </c>
      <c r="H19" s="48"/>
    </row>
    <row r="20" spans="1:10" ht="48" thickBot="1" x14ac:dyDescent="0.3">
      <c r="A20" s="9" t="s">
        <v>94</v>
      </c>
      <c r="B20" s="12" t="s">
        <v>115</v>
      </c>
      <c r="C20" s="57">
        <f>+ROUNDUP(126505.51,0.49)</f>
        <v>126506</v>
      </c>
      <c r="D20" s="75"/>
      <c r="E20" s="75"/>
      <c r="F20" s="82" t="s">
        <v>176</v>
      </c>
      <c r="G20" s="278">
        <v>106506</v>
      </c>
      <c r="H20" s="124"/>
    </row>
    <row r="21" spans="1:10" ht="16.5" thickBot="1" x14ac:dyDescent="0.3">
      <c r="A21" s="352" t="s">
        <v>42</v>
      </c>
      <c r="B21" s="353"/>
      <c r="C21" s="117">
        <f>SUM(C9,C13,C17)</f>
        <v>755103</v>
      </c>
      <c r="D21" s="117">
        <f t="shared" ref="D21:E21" si="3">SUM(D9,D13,D17)</f>
        <v>0</v>
      </c>
      <c r="E21" s="117">
        <f t="shared" si="3"/>
        <v>0</v>
      </c>
      <c r="F21" s="118"/>
      <c r="G21" s="117">
        <f>SUM(G9,G13,G17)</f>
        <v>631603</v>
      </c>
      <c r="H21" s="119"/>
    </row>
    <row r="22" spans="1:10" ht="51" customHeight="1" thickBot="1" x14ac:dyDescent="0.3">
      <c r="A22" s="343" t="s">
        <v>95</v>
      </c>
      <c r="B22" s="344"/>
      <c r="C22" s="345"/>
      <c r="D22" s="345"/>
      <c r="E22" s="345"/>
      <c r="F22" s="345"/>
      <c r="G22" s="345"/>
      <c r="H22" s="346"/>
    </row>
    <row r="23" spans="1:10" ht="30" customHeight="1" thickBot="1" x14ac:dyDescent="0.3">
      <c r="A23" s="36" t="s">
        <v>96</v>
      </c>
      <c r="B23" s="39" t="s">
        <v>116</v>
      </c>
      <c r="C23" s="56">
        <f>SUM(C24:C25)</f>
        <v>45219</v>
      </c>
      <c r="D23" s="56">
        <f t="shared" ref="D23:E23" si="4">SUM(D24:D25)</f>
        <v>0</v>
      </c>
      <c r="E23" s="56">
        <f t="shared" si="4"/>
        <v>0</v>
      </c>
      <c r="F23" s="38">
        <v>0.4</v>
      </c>
      <c r="G23" s="94">
        <f>SUM(G24:G25)</f>
        <v>18773.84</v>
      </c>
      <c r="H23" s="49"/>
      <c r="I23" s="305"/>
    </row>
    <row r="24" spans="1:10" ht="40.5" customHeight="1" thickBot="1" x14ac:dyDescent="0.3">
      <c r="A24" s="9" t="s">
        <v>97</v>
      </c>
      <c r="B24" s="12" t="s">
        <v>117</v>
      </c>
      <c r="C24" s="55">
        <f>+ROUNDUP(15217.89,0.11)</f>
        <v>15218</v>
      </c>
      <c r="D24" s="74"/>
      <c r="E24" s="74"/>
      <c r="F24" s="82" t="s">
        <v>176</v>
      </c>
      <c r="G24" s="276">
        <v>8493.84</v>
      </c>
      <c r="H24" s="48"/>
    </row>
    <row r="25" spans="1:10" ht="32.25" thickBot="1" x14ac:dyDescent="0.3">
      <c r="A25" s="9" t="s">
        <v>98</v>
      </c>
      <c r="B25" s="12" t="s">
        <v>118</v>
      </c>
      <c r="C25" s="55">
        <f>ROUNDUP(30000.76,0.24)</f>
        <v>30001</v>
      </c>
      <c r="D25" s="74"/>
      <c r="E25" s="74"/>
      <c r="F25" s="82" t="s">
        <v>176</v>
      </c>
      <c r="G25" s="276">
        <v>10280</v>
      </c>
      <c r="H25" s="48"/>
    </row>
    <row r="26" spans="1:10" ht="32.25" thickBot="1" x14ac:dyDescent="0.3">
      <c r="A26" s="36" t="s">
        <v>99</v>
      </c>
      <c r="B26" s="39" t="s">
        <v>119</v>
      </c>
      <c r="C26" s="56">
        <f>SUM(C27:C29)</f>
        <v>110427</v>
      </c>
      <c r="D26" s="56">
        <f t="shared" ref="D26:E26" si="5">SUM(D27:D29)</f>
        <v>0</v>
      </c>
      <c r="E26" s="56">
        <f t="shared" si="5"/>
        <v>0</v>
      </c>
      <c r="F26" s="38">
        <v>0.4</v>
      </c>
      <c r="G26" s="94">
        <f>SUM(G27:G29)</f>
        <v>9487.5400000000009</v>
      </c>
      <c r="H26" s="49"/>
      <c r="I26" s="305"/>
    </row>
    <row r="27" spans="1:10" ht="32.25" thickBot="1" x14ac:dyDescent="0.3">
      <c r="A27" s="9" t="s">
        <v>100</v>
      </c>
      <c r="B27" s="12" t="s">
        <v>120</v>
      </c>
      <c r="C27" s="55">
        <f>+ROUNDDOWN(798.389999999991,-0.39)</f>
        <v>798</v>
      </c>
      <c r="D27" s="74"/>
      <c r="E27" s="74"/>
      <c r="F27" s="82" t="s">
        <v>176</v>
      </c>
      <c r="G27" s="276">
        <v>0</v>
      </c>
      <c r="H27" s="48"/>
    </row>
    <row r="28" spans="1:10" ht="32.25" thickBot="1" x14ac:dyDescent="0.3">
      <c r="A28" s="9" t="s">
        <v>101</v>
      </c>
      <c r="B28" s="12" t="s">
        <v>121</v>
      </c>
      <c r="C28" s="55">
        <f>ROUNDDOWN(36837.4,-0.4)</f>
        <v>36837</v>
      </c>
      <c r="D28" s="74"/>
      <c r="E28" s="74"/>
      <c r="F28" s="82" t="s">
        <v>176</v>
      </c>
      <c r="G28" s="276">
        <v>4990.3</v>
      </c>
      <c r="H28" s="48"/>
    </row>
    <row r="29" spans="1:10" ht="48" thickBot="1" x14ac:dyDescent="0.3">
      <c r="A29" s="9" t="s">
        <v>102</v>
      </c>
      <c r="B29" s="12" t="s">
        <v>122</v>
      </c>
      <c r="C29" s="57">
        <f>ROUNDDOWN(72792.47,-0.47)</f>
        <v>72792</v>
      </c>
      <c r="D29" s="75"/>
      <c r="E29" s="75"/>
      <c r="F29" s="82" t="s">
        <v>176</v>
      </c>
      <c r="G29" s="277">
        <v>4497.24</v>
      </c>
      <c r="H29" s="50"/>
    </row>
    <row r="30" spans="1:10" ht="16.5" thickBot="1" x14ac:dyDescent="0.3">
      <c r="A30" s="352" t="s">
        <v>123</v>
      </c>
      <c r="B30" s="353" t="e">
        <f>B26+B23</f>
        <v>#VALUE!</v>
      </c>
      <c r="C30" s="117">
        <f>SUM(C23,C26)</f>
        <v>155646</v>
      </c>
      <c r="D30" s="117">
        <f t="shared" ref="D30:E30" si="6">SUM(D23,D26)</f>
        <v>0</v>
      </c>
      <c r="E30" s="117">
        <f t="shared" si="6"/>
        <v>0</v>
      </c>
      <c r="F30" s="118"/>
      <c r="G30" s="117">
        <f>G23+G26</f>
        <v>28261.38</v>
      </c>
      <c r="H30" s="119"/>
    </row>
    <row r="31" spans="1:10" s="41" customFormat="1" ht="16.5" thickBot="1" x14ac:dyDescent="0.3">
      <c r="A31" s="356" t="s">
        <v>124</v>
      </c>
      <c r="B31" s="358"/>
      <c r="C31" s="58">
        <f>C21+C30</f>
        <v>910749</v>
      </c>
      <c r="D31" s="58">
        <f t="shared" ref="D31:E31" si="7">D21+D30</f>
        <v>0</v>
      </c>
      <c r="E31" s="58">
        <f t="shared" si="7"/>
        <v>0</v>
      </c>
      <c r="F31" s="40"/>
      <c r="G31" s="58">
        <f>G21+G30</f>
        <v>659864.38</v>
      </c>
      <c r="H31" s="51"/>
      <c r="I31" s="303"/>
      <c r="J31" s="300"/>
    </row>
    <row r="32" spans="1:10" ht="32.25" customHeight="1" thickBot="1" x14ac:dyDescent="0.3">
      <c r="A32" s="337" t="s">
        <v>135</v>
      </c>
      <c r="B32" s="338"/>
      <c r="C32" s="59">
        <f>SUM(C33:C68)</f>
        <v>106437</v>
      </c>
      <c r="D32" s="59">
        <f t="shared" ref="D32:E32" si="8">SUM(D33:D68)</f>
        <v>109745</v>
      </c>
      <c r="E32" s="59">
        <f t="shared" si="8"/>
        <v>0</v>
      </c>
      <c r="F32" s="42"/>
      <c r="G32" s="95">
        <f>SUM(G33:G68)</f>
        <v>246035.97999999998</v>
      </c>
      <c r="H32" s="125"/>
      <c r="I32" s="301"/>
    </row>
    <row r="33" spans="1:8" ht="16.5" thickBot="1" x14ac:dyDescent="0.3">
      <c r="A33" s="43" t="s">
        <v>159</v>
      </c>
      <c r="B33" s="44" t="s">
        <v>127</v>
      </c>
      <c r="C33" s="60">
        <v>7320</v>
      </c>
      <c r="D33" s="112">
        <v>8000</v>
      </c>
      <c r="E33" s="70"/>
      <c r="F33" s="83"/>
      <c r="G33" s="276">
        <v>33289.269999999997</v>
      </c>
      <c r="H33" s="126"/>
    </row>
    <row r="34" spans="1:8" ht="16.5" thickBot="1" x14ac:dyDescent="0.3">
      <c r="A34" s="43" t="s">
        <v>159</v>
      </c>
      <c r="B34" s="44" t="s">
        <v>128</v>
      </c>
      <c r="C34" s="60">
        <v>7925</v>
      </c>
      <c r="D34" s="113">
        <v>7500</v>
      </c>
      <c r="E34" s="70"/>
      <c r="F34" s="84"/>
      <c r="G34" s="276">
        <v>24011.889999999996</v>
      </c>
      <c r="H34" s="48"/>
    </row>
    <row r="35" spans="1:8" ht="16.5" thickBot="1" x14ac:dyDescent="0.3">
      <c r="A35" s="43" t="s">
        <v>159</v>
      </c>
      <c r="B35" s="44" t="s">
        <v>129</v>
      </c>
      <c r="C35" s="60">
        <v>5970</v>
      </c>
      <c r="D35" s="113">
        <v>6200</v>
      </c>
      <c r="E35" s="70"/>
      <c r="F35" s="84"/>
      <c r="G35" s="277">
        <v>21653.509999999995</v>
      </c>
      <c r="H35" s="48"/>
    </row>
    <row r="36" spans="1:8" ht="16.5" thickBot="1" x14ac:dyDescent="0.3">
      <c r="A36" s="43" t="s">
        <v>159</v>
      </c>
      <c r="B36" s="69" t="s">
        <v>143</v>
      </c>
      <c r="C36" s="60">
        <v>5960</v>
      </c>
      <c r="D36" s="72">
        <v>0</v>
      </c>
      <c r="E36" s="12"/>
      <c r="F36" s="12"/>
      <c r="G36" s="93">
        <v>0</v>
      </c>
      <c r="H36" s="48"/>
    </row>
    <row r="37" spans="1:8" ht="16.5" thickBot="1" x14ac:dyDescent="0.3">
      <c r="A37" s="43" t="s">
        <v>159</v>
      </c>
      <c r="B37" s="44" t="s">
        <v>142</v>
      </c>
      <c r="C37" s="60">
        <v>5960</v>
      </c>
      <c r="D37" s="113">
        <v>6500</v>
      </c>
      <c r="E37" s="70"/>
      <c r="F37" s="84"/>
      <c r="G37" s="276">
        <v>6776.72</v>
      </c>
      <c r="H37" s="48"/>
    </row>
    <row r="38" spans="1:8" ht="16.5" thickBot="1" x14ac:dyDescent="0.3">
      <c r="A38" s="43" t="s">
        <v>159</v>
      </c>
      <c r="B38" s="44" t="s">
        <v>144</v>
      </c>
      <c r="C38" s="60">
        <v>13000</v>
      </c>
      <c r="D38" s="113">
        <v>13000</v>
      </c>
      <c r="E38" s="71"/>
      <c r="F38" s="84"/>
      <c r="G38" s="276">
        <v>160.17999999999998</v>
      </c>
      <c r="H38" s="48"/>
    </row>
    <row r="39" spans="1:8" ht="16.5" thickBot="1" x14ac:dyDescent="0.3">
      <c r="A39" s="43" t="s">
        <v>159</v>
      </c>
      <c r="B39" s="44" t="s">
        <v>145</v>
      </c>
      <c r="C39" s="60">
        <f>+ROUNDDOWN(10574.0236842105,-0.02)</f>
        <v>10574</v>
      </c>
      <c r="D39" s="113">
        <v>11000</v>
      </c>
      <c r="E39" s="70"/>
      <c r="F39" s="84"/>
      <c r="G39" s="276">
        <v>160.39999999999969</v>
      </c>
      <c r="H39" s="48"/>
    </row>
    <row r="40" spans="1:8" ht="16.5" thickBot="1" x14ac:dyDescent="0.3">
      <c r="A40" s="43" t="s">
        <v>159</v>
      </c>
      <c r="B40" s="44" t="s">
        <v>77</v>
      </c>
      <c r="C40" s="60">
        <v>2100</v>
      </c>
      <c r="D40" s="113">
        <v>3100</v>
      </c>
      <c r="E40" s="70"/>
      <c r="F40" s="84"/>
      <c r="G40" s="276">
        <v>6697.0899999999983</v>
      </c>
      <c r="H40" s="48"/>
    </row>
    <row r="41" spans="1:8" ht="16.5" thickBot="1" x14ac:dyDescent="0.3">
      <c r="A41" s="43" t="s">
        <v>159</v>
      </c>
      <c r="B41" s="44" t="s">
        <v>76</v>
      </c>
      <c r="C41" s="60">
        <v>2100</v>
      </c>
      <c r="D41" s="113">
        <v>3100</v>
      </c>
      <c r="E41" s="70"/>
      <c r="F41" s="84"/>
      <c r="G41" s="276">
        <v>5364.6599999999989</v>
      </c>
      <c r="H41" s="48"/>
    </row>
    <row r="42" spans="1:8" ht="16.5" thickBot="1" x14ac:dyDescent="0.3">
      <c r="A42" s="43" t="s">
        <v>159</v>
      </c>
      <c r="B42" s="44" t="s">
        <v>146</v>
      </c>
      <c r="C42" s="60">
        <v>1350</v>
      </c>
      <c r="D42" s="113">
        <v>1700</v>
      </c>
      <c r="E42" s="70"/>
      <c r="F42" s="84"/>
      <c r="G42" s="276">
        <v>3842.0199999999991</v>
      </c>
      <c r="H42" s="48"/>
    </row>
    <row r="43" spans="1:8" ht="16.5" thickBot="1" x14ac:dyDescent="0.3">
      <c r="A43" s="43" t="s">
        <v>159</v>
      </c>
      <c r="B43" s="44" t="s">
        <v>74</v>
      </c>
      <c r="C43" s="60">
        <v>1050</v>
      </c>
      <c r="D43" s="113">
        <v>1000</v>
      </c>
      <c r="E43" s="70"/>
      <c r="F43" s="84"/>
      <c r="G43" s="276">
        <v>3033.4299999999994</v>
      </c>
      <c r="H43" s="48"/>
    </row>
    <row r="44" spans="1:8" ht="16.5" thickBot="1" x14ac:dyDescent="0.3">
      <c r="A44" s="43" t="s">
        <v>159</v>
      </c>
      <c r="B44" s="44" t="s">
        <v>147</v>
      </c>
      <c r="C44" s="60">
        <v>1350</v>
      </c>
      <c r="D44" s="113">
        <v>1700</v>
      </c>
      <c r="E44" s="70"/>
      <c r="F44" s="84"/>
      <c r="G44" s="276">
        <v>4001.1099999999988</v>
      </c>
      <c r="H44" s="48"/>
    </row>
    <row r="45" spans="1:8" ht="16.5" thickBot="1" x14ac:dyDescent="0.3">
      <c r="A45" s="43" t="s">
        <v>159</v>
      </c>
      <c r="B45" s="44" t="s">
        <v>148</v>
      </c>
      <c r="C45" s="60">
        <v>1080</v>
      </c>
      <c r="D45" s="113">
        <v>950</v>
      </c>
      <c r="E45" s="70"/>
      <c r="F45" s="84"/>
      <c r="G45" s="276">
        <v>3875.88</v>
      </c>
      <c r="H45" s="48"/>
    </row>
    <row r="46" spans="1:8" ht="16.5" thickBot="1" x14ac:dyDescent="0.3">
      <c r="A46" s="43" t="s">
        <v>159</v>
      </c>
      <c r="B46" s="44" t="s">
        <v>149</v>
      </c>
      <c r="C46" s="60">
        <v>2100</v>
      </c>
      <c r="D46" s="113">
        <v>3100</v>
      </c>
      <c r="E46" s="70"/>
      <c r="F46" s="84"/>
      <c r="G46" s="276">
        <v>1724.08</v>
      </c>
      <c r="H46" s="48"/>
    </row>
    <row r="47" spans="1:8" ht="16.5" thickBot="1" x14ac:dyDescent="0.3">
      <c r="A47" s="43" t="s">
        <v>159</v>
      </c>
      <c r="B47" s="69" t="s">
        <v>150</v>
      </c>
      <c r="C47" s="60">
        <v>950</v>
      </c>
      <c r="D47" s="113">
        <v>950</v>
      </c>
      <c r="E47" s="71"/>
      <c r="F47" s="84"/>
      <c r="G47" s="276">
        <v>3191.0700000000006</v>
      </c>
      <c r="H47" s="48"/>
    </row>
    <row r="48" spans="1:8" ht="16.5" thickBot="1" x14ac:dyDescent="0.3">
      <c r="A48" s="43" t="s">
        <v>159</v>
      </c>
      <c r="B48" s="69" t="s">
        <v>151</v>
      </c>
      <c r="C48" s="60">
        <v>1250</v>
      </c>
      <c r="D48" s="113">
        <v>1200</v>
      </c>
      <c r="E48" s="70"/>
      <c r="F48" s="84"/>
      <c r="G48" s="276">
        <v>4997.2100000000009</v>
      </c>
      <c r="H48" s="48"/>
    </row>
    <row r="49" spans="1:8" ht="16.5" thickBot="1" x14ac:dyDescent="0.3">
      <c r="A49" s="43" t="s">
        <v>159</v>
      </c>
      <c r="B49" s="69" t="s">
        <v>152</v>
      </c>
      <c r="C49" s="60">
        <v>1250</v>
      </c>
      <c r="D49" s="113">
        <v>1700</v>
      </c>
      <c r="E49" s="70"/>
      <c r="F49" s="84"/>
      <c r="G49" s="276">
        <v>5041.6900000000005</v>
      </c>
      <c r="H49" s="48"/>
    </row>
    <row r="50" spans="1:8" ht="16.5" thickBot="1" x14ac:dyDescent="0.3">
      <c r="A50" s="43" t="s">
        <v>159</v>
      </c>
      <c r="B50" s="69" t="s">
        <v>153</v>
      </c>
      <c r="C50" s="60">
        <v>1020</v>
      </c>
      <c r="D50" s="113">
        <v>750</v>
      </c>
      <c r="E50" s="70"/>
      <c r="F50" s="84"/>
      <c r="G50" s="276">
        <v>0</v>
      </c>
      <c r="H50" s="48"/>
    </row>
    <row r="51" spans="1:8" ht="16.5" thickBot="1" x14ac:dyDescent="0.3">
      <c r="A51" s="43" t="s">
        <v>159</v>
      </c>
      <c r="B51" s="69" t="s">
        <v>154</v>
      </c>
      <c r="C51" s="60">
        <v>750</v>
      </c>
      <c r="D51" s="113">
        <v>650</v>
      </c>
      <c r="E51" s="70"/>
      <c r="F51" s="84"/>
      <c r="G51" s="276">
        <v>7567.6200000000026</v>
      </c>
      <c r="H51" s="48"/>
    </row>
    <row r="52" spans="1:8" ht="16.5" thickBot="1" x14ac:dyDescent="0.3">
      <c r="A52" s="43" t="s">
        <v>159</v>
      </c>
      <c r="B52" s="69" t="s">
        <v>161</v>
      </c>
      <c r="C52" s="60">
        <v>450</v>
      </c>
      <c r="D52" s="113">
        <v>450</v>
      </c>
      <c r="E52" s="71"/>
      <c r="F52" s="84"/>
      <c r="G52" s="276">
        <v>5644.9500000000007</v>
      </c>
      <c r="H52" s="48"/>
    </row>
    <row r="53" spans="1:8" ht="16.5" thickBot="1" x14ac:dyDescent="0.3">
      <c r="A53" s="43" t="s">
        <v>159</v>
      </c>
      <c r="B53" s="69" t="s">
        <v>22</v>
      </c>
      <c r="C53" s="60">
        <v>50</v>
      </c>
      <c r="D53" s="113">
        <v>50</v>
      </c>
      <c r="E53" s="71"/>
      <c r="F53" s="84"/>
      <c r="G53" s="276">
        <v>4994.5000000000009</v>
      </c>
      <c r="H53" s="48"/>
    </row>
    <row r="54" spans="1:8" ht="16.5" thickBot="1" x14ac:dyDescent="0.3">
      <c r="A54" s="43" t="s">
        <v>159</v>
      </c>
      <c r="B54" s="69" t="s">
        <v>157</v>
      </c>
      <c r="C54" s="60">
        <f>+ROUNDDOWN(6611.07724171512,-0.07)</f>
        <v>6611</v>
      </c>
      <c r="D54" s="113">
        <v>6700</v>
      </c>
      <c r="E54" s="70"/>
      <c r="F54" s="84"/>
      <c r="G54" s="276">
        <v>244</v>
      </c>
      <c r="H54" s="48"/>
    </row>
    <row r="55" spans="1:8" ht="16.5" thickBot="1" x14ac:dyDescent="0.3">
      <c r="A55" s="43" t="s">
        <v>159</v>
      </c>
      <c r="B55" s="69" t="s">
        <v>156</v>
      </c>
      <c r="C55" s="60">
        <f>+ROUNDUP(8060.77468615178,0.23)</f>
        <v>8061</v>
      </c>
      <c r="D55" s="113">
        <v>7500</v>
      </c>
      <c r="E55" s="70"/>
      <c r="F55" s="84"/>
      <c r="G55" s="276">
        <v>1467.72</v>
      </c>
      <c r="H55" s="48"/>
    </row>
    <row r="56" spans="1:8" ht="16.5" thickBot="1" x14ac:dyDescent="0.3">
      <c r="A56" s="43" t="s">
        <v>159</v>
      </c>
      <c r="B56" s="69" t="s">
        <v>158</v>
      </c>
      <c r="C56" s="60">
        <f>+ROUNDUP(7710.8044664108,0.2)</f>
        <v>7711</v>
      </c>
      <c r="D56" s="113">
        <v>8000</v>
      </c>
      <c r="E56" s="70"/>
      <c r="F56" s="84"/>
      <c r="G56" s="276">
        <v>878.33999999999992</v>
      </c>
      <c r="H56" s="48"/>
    </row>
    <row r="57" spans="1:8" ht="16.5" thickBot="1" x14ac:dyDescent="0.3">
      <c r="A57" s="43" t="s">
        <v>159</v>
      </c>
      <c r="B57" s="69" t="s">
        <v>155</v>
      </c>
      <c r="C57" s="60">
        <v>650</v>
      </c>
      <c r="D57" s="113">
        <v>0</v>
      </c>
      <c r="E57" s="70"/>
      <c r="F57" s="84"/>
      <c r="G57" s="93">
        <v>0</v>
      </c>
      <c r="H57" s="48"/>
    </row>
    <row r="58" spans="1:8" ht="16.5" thickBot="1" x14ac:dyDescent="0.3">
      <c r="A58" s="43" t="s">
        <v>160</v>
      </c>
      <c r="B58" s="69" t="s">
        <v>162</v>
      </c>
      <c r="C58" s="60">
        <v>4900</v>
      </c>
      <c r="D58" s="113">
        <v>4900</v>
      </c>
      <c r="E58" s="71"/>
      <c r="F58" s="84"/>
      <c r="G58" s="276">
        <v>28420</v>
      </c>
      <c r="H58" s="48"/>
    </row>
    <row r="59" spans="1:8" ht="16.5" thickBot="1" x14ac:dyDescent="0.3">
      <c r="A59" s="43" t="s">
        <v>160</v>
      </c>
      <c r="B59" s="69" t="s">
        <v>163</v>
      </c>
      <c r="C59" s="60">
        <v>2027</v>
      </c>
      <c r="D59" s="113">
        <v>2027</v>
      </c>
      <c r="E59" s="71"/>
      <c r="F59" s="84"/>
      <c r="G59" s="276">
        <v>15798.850000000002</v>
      </c>
      <c r="H59" s="48"/>
    </row>
    <row r="60" spans="1:8" ht="16.5" thickBot="1" x14ac:dyDescent="0.3">
      <c r="A60" s="43" t="s">
        <v>160</v>
      </c>
      <c r="B60" s="69" t="s">
        <v>164</v>
      </c>
      <c r="C60" s="60">
        <v>1518</v>
      </c>
      <c r="D60" s="113">
        <v>1518</v>
      </c>
      <c r="E60" s="72"/>
      <c r="F60" s="84"/>
      <c r="G60" s="276">
        <v>12144.700000000004</v>
      </c>
      <c r="H60" s="48"/>
    </row>
    <row r="61" spans="1:8" ht="16.5" thickBot="1" x14ac:dyDescent="0.3">
      <c r="A61" s="43" t="s">
        <v>160</v>
      </c>
      <c r="B61" s="69" t="s">
        <v>130</v>
      </c>
      <c r="C61" s="60">
        <v>1400</v>
      </c>
      <c r="D61" s="113">
        <v>1400</v>
      </c>
      <c r="E61" s="71"/>
      <c r="F61" s="84"/>
      <c r="G61" s="276">
        <v>13160</v>
      </c>
      <c r="H61" s="48"/>
    </row>
    <row r="62" spans="1:8" ht="16.5" thickBot="1" x14ac:dyDescent="0.3">
      <c r="A62" s="115" t="s">
        <v>165</v>
      </c>
      <c r="B62" s="114" t="s">
        <v>167</v>
      </c>
      <c r="C62" s="62"/>
      <c r="D62" s="113">
        <v>1500</v>
      </c>
      <c r="E62" s="70"/>
      <c r="F62" s="84"/>
      <c r="G62" s="276">
        <v>10560</v>
      </c>
      <c r="H62" s="48"/>
    </row>
    <row r="63" spans="1:8" ht="16.5" thickBot="1" x14ac:dyDescent="0.3">
      <c r="A63" s="115" t="s">
        <v>165</v>
      </c>
      <c r="B63" s="114" t="s">
        <v>168</v>
      </c>
      <c r="C63" s="62"/>
      <c r="D63" s="113">
        <v>900</v>
      </c>
      <c r="E63" s="70"/>
      <c r="F63" s="84"/>
      <c r="G63" s="276">
        <v>5760</v>
      </c>
      <c r="H63" s="48"/>
    </row>
    <row r="64" spans="1:8" ht="16.5" thickBot="1" x14ac:dyDescent="0.3">
      <c r="A64" s="115" t="s">
        <v>166</v>
      </c>
      <c r="B64" s="114" t="s">
        <v>169</v>
      </c>
      <c r="C64" s="62"/>
      <c r="D64" s="113">
        <v>1200</v>
      </c>
      <c r="E64" s="70"/>
      <c r="F64" s="84"/>
      <c r="G64" s="276">
        <v>5408.6799999999939</v>
      </c>
      <c r="H64" s="48"/>
    </row>
    <row r="65" spans="1:9" ht="16.5" thickBot="1" x14ac:dyDescent="0.3">
      <c r="A65" s="115" t="s">
        <v>166</v>
      </c>
      <c r="B65" s="114" t="s">
        <v>168</v>
      </c>
      <c r="C65" s="62"/>
      <c r="D65" s="113">
        <v>600</v>
      </c>
      <c r="E65" s="70"/>
      <c r="F65" s="84"/>
      <c r="G65" s="276">
        <v>3779.2400000000021</v>
      </c>
      <c r="H65" s="48"/>
    </row>
    <row r="66" spans="1:9" ht="16.5" thickBot="1" x14ac:dyDescent="0.3">
      <c r="A66" s="115" t="s">
        <v>166</v>
      </c>
      <c r="B66" s="114" t="s">
        <v>170</v>
      </c>
      <c r="C66" s="62"/>
      <c r="D66" s="113">
        <v>500</v>
      </c>
      <c r="E66" s="70"/>
      <c r="F66" s="84"/>
      <c r="G66" s="276">
        <v>1000.8299999999998</v>
      </c>
      <c r="H66" s="48"/>
    </row>
    <row r="67" spans="1:9" ht="16.5" thickBot="1" x14ac:dyDescent="0.3">
      <c r="A67" s="115" t="s">
        <v>166</v>
      </c>
      <c r="B67" s="114" t="s">
        <v>171</v>
      </c>
      <c r="C67" s="62"/>
      <c r="D67" s="113">
        <v>350</v>
      </c>
      <c r="E67" s="70"/>
      <c r="F67" s="84"/>
      <c r="G67" s="276">
        <v>878.43000000000006</v>
      </c>
      <c r="H67" s="48"/>
    </row>
    <row r="68" spans="1:9" ht="16.5" thickBot="1" x14ac:dyDescent="0.3">
      <c r="A68" s="115" t="s">
        <v>166</v>
      </c>
      <c r="B68" s="114" t="s">
        <v>172</v>
      </c>
      <c r="C68" s="62"/>
      <c r="D68" s="72">
        <v>50</v>
      </c>
      <c r="E68" s="70"/>
      <c r="F68" s="84"/>
      <c r="G68" s="276">
        <v>507.90999999999997</v>
      </c>
      <c r="H68" s="48"/>
    </row>
    <row r="69" spans="1:9" ht="21.75" thickBot="1" x14ac:dyDescent="0.3">
      <c r="A69" s="354" t="s">
        <v>134</v>
      </c>
      <c r="B69" s="355"/>
      <c r="C69" s="61">
        <f>SUM(C70:C75)</f>
        <v>51448</v>
      </c>
      <c r="D69" s="61">
        <f t="shared" ref="D69:E69" si="9">SUM(D70:D75)</f>
        <v>0</v>
      </c>
      <c r="E69" s="61">
        <f t="shared" si="9"/>
        <v>0</v>
      </c>
      <c r="F69" s="45">
        <f>SUM(F70:F75)</f>
        <v>0</v>
      </c>
      <c r="G69" s="96">
        <f>SUM(G70:G75)</f>
        <v>86834.559999999998</v>
      </c>
      <c r="H69" s="45">
        <f>SUM(H70:H75)</f>
        <v>0</v>
      </c>
      <c r="I69" s="305"/>
    </row>
    <row r="70" spans="1:9" ht="32.25" thickBot="1" x14ac:dyDescent="0.3">
      <c r="B70" s="6" t="s">
        <v>136</v>
      </c>
      <c r="C70" s="62">
        <v>3150</v>
      </c>
      <c r="D70" s="85"/>
      <c r="E70" s="85"/>
      <c r="F70" s="84"/>
      <c r="G70" s="276">
        <v>19135.109999999997</v>
      </c>
      <c r="H70" s="128" t="s">
        <v>192</v>
      </c>
    </row>
    <row r="71" spans="1:9" ht="16.5" thickBot="1" x14ac:dyDescent="0.3">
      <c r="B71" s="6" t="s">
        <v>137</v>
      </c>
      <c r="C71" s="62">
        <v>965</v>
      </c>
      <c r="D71" s="76"/>
      <c r="E71" s="76"/>
      <c r="F71" s="84"/>
      <c r="G71" s="276">
        <v>1323.16</v>
      </c>
      <c r="H71" s="48"/>
    </row>
    <row r="72" spans="1:9" ht="16.5" thickBot="1" x14ac:dyDescent="0.3">
      <c r="B72" s="6" t="s">
        <v>138</v>
      </c>
      <c r="C72" s="62">
        <v>3290</v>
      </c>
      <c r="D72" s="76"/>
      <c r="E72" s="76"/>
      <c r="F72" s="84"/>
      <c r="G72" s="276">
        <v>19319.009999999998</v>
      </c>
      <c r="H72" s="48"/>
    </row>
    <row r="73" spans="1:9" ht="16.5" thickBot="1" x14ac:dyDescent="0.3">
      <c r="B73" s="6" t="s">
        <v>139</v>
      </c>
      <c r="C73" s="62">
        <f>ROUNDUP(19992.75+1700,0.23)</f>
        <v>21693</v>
      </c>
      <c r="D73" s="76"/>
      <c r="E73" s="76"/>
      <c r="F73" s="84"/>
      <c r="G73" s="276">
        <v>8843.869999999999</v>
      </c>
      <c r="H73" s="48"/>
    </row>
    <row r="74" spans="1:9" ht="32.25" thickBot="1" x14ac:dyDescent="0.3">
      <c r="B74" s="6" t="s">
        <v>140</v>
      </c>
      <c r="C74" s="62">
        <v>21150</v>
      </c>
      <c r="D74" s="76"/>
      <c r="E74" s="76"/>
      <c r="F74" s="84"/>
      <c r="G74" s="276">
        <v>31886.85</v>
      </c>
      <c r="H74" s="128" t="s">
        <v>191</v>
      </c>
    </row>
    <row r="75" spans="1:9" ht="16.5" thickBot="1" x14ac:dyDescent="0.3">
      <c r="B75" s="6" t="s">
        <v>141</v>
      </c>
      <c r="C75" s="62">
        <v>1200</v>
      </c>
      <c r="D75" s="86"/>
      <c r="E75" s="86"/>
      <c r="F75" s="84"/>
      <c r="G75" s="277">
        <v>6326.5599999999995</v>
      </c>
      <c r="H75" s="50"/>
    </row>
    <row r="76" spans="1:9" ht="21.75" thickBot="1" x14ac:dyDescent="0.3">
      <c r="A76" s="337" t="s">
        <v>126</v>
      </c>
      <c r="B76" s="338"/>
      <c r="C76" s="61">
        <f>SUM(C77:C89)</f>
        <v>99590</v>
      </c>
      <c r="D76" s="61">
        <f>SUM(D77:D89)</f>
        <v>98980</v>
      </c>
      <c r="E76" s="61">
        <f t="shared" ref="E76" si="10">SUM(E77:E89)</f>
        <v>2800</v>
      </c>
      <c r="F76" s="45">
        <f>SUM(F77:F89)</f>
        <v>0</v>
      </c>
      <c r="G76" s="96">
        <f>SUM(G77:G89)</f>
        <v>88161.530000000013</v>
      </c>
      <c r="H76" s="45">
        <f>SUM(H77:H89)</f>
        <v>0</v>
      </c>
      <c r="I76" s="305"/>
    </row>
    <row r="77" spans="1:9" ht="16.5" thickBot="1" x14ac:dyDescent="0.3">
      <c r="B77" s="6" t="s">
        <v>183</v>
      </c>
      <c r="C77" s="62">
        <v>6750</v>
      </c>
      <c r="D77" s="110">
        <v>9180</v>
      </c>
      <c r="E77" s="76"/>
      <c r="F77" s="84"/>
      <c r="G77" s="280">
        <v>10802.9</v>
      </c>
      <c r="H77" s="48"/>
    </row>
    <row r="78" spans="1:9" ht="16.5" thickBot="1" x14ac:dyDescent="0.3">
      <c r="B78" s="6" t="s">
        <v>174</v>
      </c>
      <c r="C78" s="62">
        <v>34200</v>
      </c>
      <c r="D78" s="110">
        <v>17100</v>
      </c>
      <c r="E78" s="76"/>
      <c r="F78" s="84"/>
      <c r="G78" s="280">
        <v>19164.080000000002</v>
      </c>
      <c r="H78" s="48"/>
    </row>
    <row r="79" spans="1:9" ht="16.5" thickBot="1" x14ac:dyDescent="0.3">
      <c r="B79" s="108" t="s">
        <v>184</v>
      </c>
      <c r="C79" s="62"/>
      <c r="D79" s="110">
        <v>6480</v>
      </c>
      <c r="E79" s="76"/>
      <c r="F79" s="84"/>
      <c r="G79" s="280">
        <v>2207.6600000000003</v>
      </c>
      <c r="H79" s="80"/>
    </row>
    <row r="80" spans="1:9" ht="60.75" customHeight="1" thickBot="1" x14ac:dyDescent="0.3">
      <c r="B80" s="73" t="s">
        <v>185</v>
      </c>
      <c r="C80" s="62"/>
      <c r="D80" s="110"/>
      <c r="E80" s="76">
        <v>2800</v>
      </c>
      <c r="F80" s="84"/>
      <c r="G80" s="280">
        <v>112</v>
      </c>
      <c r="H80" s="129" t="s">
        <v>190</v>
      </c>
    </row>
    <row r="81" spans="1:9" ht="16.5" thickBot="1" x14ac:dyDescent="0.3">
      <c r="B81" s="108" t="s">
        <v>186</v>
      </c>
      <c r="C81" s="62">
        <v>8640</v>
      </c>
      <c r="D81" s="110">
        <v>15120</v>
      </c>
      <c r="E81" s="76"/>
      <c r="F81" s="84"/>
      <c r="G81" s="280">
        <v>18120</v>
      </c>
      <c r="H81" s="48"/>
    </row>
    <row r="82" spans="1:9" ht="16.5" thickBot="1" x14ac:dyDescent="0.3">
      <c r="B82" s="108" t="s">
        <v>187</v>
      </c>
      <c r="C82" s="62"/>
      <c r="D82" s="110">
        <v>350</v>
      </c>
      <c r="E82" s="76"/>
      <c r="F82" s="84"/>
      <c r="G82" s="280">
        <v>1785</v>
      </c>
      <c r="H82" s="80"/>
    </row>
    <row r="83" spans="1:9" ht="16.5" thickBot="1" x14ac:dyDescent="0.3">
      <c r="B83" s="108" t="s">
        <v>173</v>
      </c>
      <c r="C83" s="62"/>
      <c r="D83" s="74">
        <v>750</v>
      </c>
      <c r="E83" s="74"/>
      <c r="F83" s="84"/>
      <c r="G83" s="97">
        <v>0</v>
      </c>
      <c r="H83" s="80"/>
    </row>
    <row r="84" spans="1:9" ht="16.5" thickBot="1" x14ac:dyDescent="0.3">
      <c r="B84" s="108" t="s">
        <v>175</v>
      </c>
      <c r="C84" s="109"/>
      <c r="D84" s="110">
        <v>7000</v>
      </c>
      <c r="E84" s="110"/>
      <c r="F84" s="84"/>
      <c r="G84" s="280">
        <v>15173.380000000001</v>
      </c>
      <c r="H84" s="348" t="s">
        <v>182</v>
      </c>
    </row>
    <row r="85" spans="1:9" ht="30.75" customHeight="1" thickBot="1" x14ac:dyDescent="0.3">
      <c r="B85" s="108" t="s">
        <v>178</v>
      </c>
      <c r="C85" s="109"/>
      <c r="D85" s="110">
        <v>3000</v>
      </c>
      <c r="E85" s="110"/>
      <c r="F85" s="84"/>
      <c r="G85" s="280">
        <v>9330.35</v>
      </c>
      <c r="H85" s="349"/>
    </row>
    <row r="86" spans="1:9" ht="64.5" customHeight="1" thickBot="1" x14ac:dyDescent="0.3">
      <c r="B86" s="6" t="s">
        <v>131</v>
      </c>
      <c r="C86" s="62">
        <v>5000</v>
      </c>
      <c r="D86" s="74">
        <v>5000</v>
      </c>
      <c r="E86" s="74"/>
      <c r="F86" s="84"/>
      <c r="G86" s="280">
        <v>8460.66</v>
      </c>
      <c r="H86" s="350"/>
    </row>
    <row r="87" spans="1:9" ht="16.5" thickBot="1" x14ac:dyDescent="0.3">
      <c r="B87" s="6" t="s">
        <v>132</v>
      </c>
      <c r="C87" s="62">
        <v>5000</v>
      </c>
      <c r="D87" s="74">
        <v>5000</v>
      </c>
      <c r="E87" s="74"/>
      <c r="F87" s="84"/>
      <c r="G87" s="97">
        <v>0</v>
      </c>
      <c r="H87" s="48"/>
    </row>
    <row r="88" spans="1:9" ht="16.5" thickBot="1" x14ac:dyDescent="0.3">
      <c r="B88" s="6" t="s">
        <v>75</v>
      </c>
      <c r="C88" s="62">
        <v>25000</v>
      </c>
      <c r="D88" s="110">
        <v>15000</v>
      </c>
      <c r="E88" s="76"/>
      <c r="F88" s="84"/>
      <c r="G88" s="280">
        <v>3005.5</v>
      </c>
      <c r="H88" s="80"/>
    </row>
    <row r="89" spans="1:9" ht="16.5" thickBot="1" x14ac:dyDescent="0.3">
      <c r="B89" s="6" t="s">
        <v>133</v>
      </c>
      <c r="C89" s="63">
        <v>15000</v>
      </c>
      <c r="D89" s="75">
        <v>15000</v>
      </c>
      <c r="E89" s="75"/>
      <c r="F89" s="84"/>
      <c r="G89" s="280">
        <v>0</v>
      </c>
      <c r="H89" s="48"/>
    </row>
    <row r="90" spans="1:9" ht="16.5" thickBot="1" x14ac:dyDescent="0.3">
      <c r="A90" s="356" t="s">
        <v>43</v>
      </c>
      <c r="B90" s="357"/>
      <c r="C90" s="64">
        <f>SUM(C76,C69,C32)</f>
        <v>257475</v>
      </c>
      <c r="D90" s="64">
        <f>SUM(D76,D69,D32)</f>
        <v>208725</v>
      </c>
      <c r="E90" s="64">
        <f t="shared" ref="E90" si="11">SUM(E76,E69,E32)</f>
        <v>2800</v>
      </c>
      <c r="F90" s="46">
        <f>SUM(F76,F69,F32)</f>
        <v>0</v>
      </c>
      <c r="G90" s="98">
        <f>SUM(G76,G69,G32)</f>
        <v>421032.07</v>
      </c>
      <c r="H90" s="46">
        <f>SUM(H76,H69,H32)</f>
        <v>0</v>
      </c>
    </row>
    <row r="91" spans="1:9" ht="65.25" customHeight="1" thickBot="1" x14ac:dyDescent="0.3">
      <c r="A91" s="337" t="s">
        <v>3</v>
      </c>
      <c r="B91" s="338"/>
      <c r="C91" s="61">
        <v>81776</v>
      </c>
      <c r="D91" s="111">
        <v>86000</v>
      </c>
      <c r="E91" s="81"/>
      <c r="F91" s="61"/>
      <c r="G91" s="307">
        <f>'BFU Report up to 31.10.20'!H287</f>
        <v>75252.442999999999</v>
      </c>
      <c r="H91" s="80"/>
      <c r="I91" s="301"/>
    </row>
    <row r="92" spans="1:9" ht="16.5" thickBot="1" x14ac:dyDescent="0.3">
      <c r="A92" s="335" t="s">
        <v>4</v>
      </c>
      <c r="B92" s="336"/>
      <c r="C92" s="65">
        <f>SUM(C91,C90,C31)</f>
        <v>1250000</v>
      </c>
      <c r="D92" s="65">
        <f t="shared" ref="D92:E92" si="12">SUM(D91,D90,D31)</f>
        <v>294725</v>
      </c>
      <c r="E92" s="65">
        <f t="shared" si="12"/>
        <v>2800</v>
      </c>
      <c r="F92" s="47">
        <f>SUM(F91,F90,F31)</f>
        <v>0</v>
      </c>
      <c r="G92" s="99">
        <f>SUM(G91,G90,G31)</f>
        <v>1156148.8930000002</v>
      </c>
      <c r="H92" s="47">
        <f>SUM(H91,H90,H31)</f>
        <v>0</v>
      </c>
    </row>
    <row r="93" spans="1:9" x14ac:dyDescent="0.25">
      <c r="A93"/>
    </row>
    <row r="94" spans="1:9" x14ac:dyDescent="0.25">
      <c r="F94" s="31"/>
    </row>
    <row r="96" spans="1:9" x14ac:dyDescent="0.25">
      <c r="B96" s="15"/>
    </row>
  </sheetData>
  <mergeCells count="14">
    <mergeCell ref="A1:B1"/>
    <mergeCell ref="A21:B21"/>
    <mergeCell ref="A76:B76"/>
    <mergeCell ref="A69:B69"/>
    <mergeCell ref="A90:B90"/>
    <mergeCell ref="A30:B30"/>
    <mergeCell ref="A31:B31"/>
    <mergeCell ref="A32:B32"/>
    <mergeCell ref="A92:B92"/>
    <mergeCell ref="A91:B91"/>
    <mergeCell ref="A8:H8"/>
    <mergeCell ref="A22:H22"/>
    <mergeCell ref="A3:C3"/>
    <mergeCell ref="H84:H86"/>
  </mergeCells>
  <pageMargins left="0.7" right="0.7" top="0.75" bottom="0.75" header="0.3" footer="0.3"/>
  <pageSetup scale="54" fitToHeight="0" orientation="landscape" r:id="rId1"/>
  <rowBreaks count="1" manualBreakCount="1">
    <brk id="1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1"/>
  <sheetViews>
    <sheetView topLeftCell="A187" workbookViewId="0">
      <selection activeCell="F221" sqref="F221"/>
    </sheetView>
  </sheetViews>
  <sheetFormatPr defaultColWidth="8.7109375" defaultRowHeight="15" x14ac:dyDescent="0.25"/>
  <cols>
    <col min="1" max="1" width="11" customWidth="1"/>
    <col min="2" max="2" width="8.85546875" customWidth="1"/>
    <col min="4" max="4" width="11.5703125" bestFit="1" customWidth="1"/>
    <col min="6" max="6" width="57.42578125" customWidth="1"/>
    <col min="7" max="8" width="13.5703125" bestFit="1" customWidth="1"/>
    <col min="9" max="9" width="12.28515625" bestFit="1" customWidth="1"/>
    <col min="10" max="10" width="13.7109375" customWidth="1"/>
    <col min="11" max="11" width="1.140625" customWidth="1"/>
    <col min="12" max="12" width="9.140625" style="281"/>
    <col min="13" max="13" width="9.140625" style="282"/>
  </cols>
  <sheetData>
    <row r="1" spans="1:13" ht="25.5" x14ac:dyDescent="0.25">
      <c r="A1" s="136" t="s">
        <v>199</v>
      </c>
      <c r="B1" s="137" t="s">
        <v>200</v>
      </c>
      <c r="C1" s="138" t="s">
        <v>201</v>
      </c>
      <c r="D1" s="138" t="s">
        <v>202</v>
      </c>
      <c r="E1" s="138" t="s">
        <v>203</v>
      </c>
      <c r="F1" s="138" t="s">
        <v>204</v>
      </c>
      <c r="G1" s="230" t="s">
        <v>695</v>
      </c>
      <c r="H1" s="265" t="s">
        <v>708</v>
      </c>
      <c r="I1" s="274" t="s">
        <v>709</v>
      </c>
      <c r="J1" s="274" t="s">
        <v>710</v>
      </c>
    </row>
    <row r="2" spans="1:13" x14ac:dyDescent="0.25">
      <c r="A2" s="139" t="s">
        <v>205</v>
      </c>
      <c r="B2" s="140" t="s">
        <v>206</v>
      </c>
      <c r="C2" s="140"/>
      <c r="D2" s="140"/>
      <c r="E2" s="140"/>
      <c r="F2" s="140"/>
      <c r="G2" s="231">
        <f>G3+G16+G27</f>
        <v>136949</v>
      </c>
      <c r="H2" s="231">
        <f>H3+H16+H27</f>
        <v>177407.76</v>
      </c>
      <c r="I2" s="273">
        <f>G2-H2</f>
        <v>-40458.760000000009</v>
      </c>
      <c r="J2" s="120">
        <f>H2/G2</f>
        <v>1.2954293934238295</v>
      </c>
      <c r="L2" s="283">
        <f>G2/G288</f>
        <v>0.1095592007011803</v>
      </c>
      <c r="M2" s="284">
        <f>H2/H288</f>
        <v>0.15344715639493331</v>
      </c>
    </row>
    <row r="3" spans="1:13" x14ac:dyDescent="0.25">
      <c r="A3" s="141" t="s">
        <v>207</v>
      </c>
      <c r="B3" s="142" t="s">
        <v>208</v>
      </c>
      <c r="C3" s="142"/>
      <c r="D3" s="142"/>
      <c r="E3" s="142"/>
      <c r="F3" s="142"/>
      <c r="G3" s="232">
        <f>SUM(G4:G15)</f>
        <v>17535</v>
      </c>
      <c r="H3" s="266">
        <f>SUM(H4:H15)</f>
        <v>16366.060000000001</v>
      </c>
      <c r="I3" s="273">
        <f t="shared" ref="I3:I66" si="0">G3-H3</f>
        <v>1168.9399999999987</v>
      </c>
      <c r="J3" s="120">
        <f t="shared" ref="J3:J66" si="1">H3/G3</f>
        <v>0.93333675506130609</v>
      </c>
      <c r="L3" s="281">
        <f>G3/G2</f>
        <v>0.1280403653914961</v>
      </c>
      <c r="M3" s="282">
        <f>H3/H2</f>
        <v>9.225109431515284E-2</v>
      </c>
    </row>
    <row r="4" spans="1:13" x14ac:dyDescent="0.25">
      <c r="A4" s="143" t="s">
        <v>165</v>
      </c>
      <c r="B4" s="144" t="s">
        <v>209</v>
      </c>
      <c r="C4" s="145" t="s">
        <v>210</v>
      </c>
      <c r="D4" s="145" t="s">
        <v>211</v>
      </c>
      <c r="E4" s="291">
        <v>2</v>
      </c>
      <c r="F4" s="146" t="s">
        <v>212</v>
      </c>
      <c r="G4" s="233">
        <v>7770</v>
      </c>
      <c r="H4" s="279">
        <v>7987</v>
      </c>
      <c r="I4" s="273">
        <f t="shared" si="0"/>
        <v>-217</v>
      </c>
      <c r="J4" s="120">
        <f t="shared" si="1"/>
        <v>1.0279279279279279</v>
      </c>
    </row>
    <row r="5" spans="1:13" x14ac:dyDescent="0.25">
      <c r="A5" s="143" t="s">
        <v>165</v>
      </c>
      <c r="B5" s="144" t="s">
        <v>209</v>
      </c>
      <c r="C5" s="145" t="s">
        <v>213</v>
      </c>
      <c r="D5" s="145" t="s">
        <v>211</v>
      </c>
      <c r="E5" s="291">
        <v>2</v>
      </c>
      <c r="F5" s="146" t="s">
        <v>214</v>
      </c>
      <c r="G5" s="233">
        <v>160</v>
      </c>
      <c r="H5" s="279">
        <v>840</v>
      </c>
      <c r="I5" s="273">
        <f t="shared" si="0"/>
        <v>-680</v>
      </c>
      <c r="J5" s="120">
        <f t="shared" si="1"/>
        <v>5.25</v>
      </c>
    </row>
    <row r="6" spans="1:13" x14ac:dyDescent="0.25">
      <c r="A6" s="143" t="s">
        <v>165</v>
      </c>
      <c r="B6" s="144" t="s">
        <v>209</v>
      </c>
      <c r="C6" s="145" t="s">
        <v>215</v>
      </c>
      <c r="D6" s="145" t="s">
        <v>216</v>
      </c>
      <c r="E6" s="291">
        <v>4</v>
      </c>
      <c r="F6" s="146" t="s">
        <v>217</v>
      </c>
      <c r="G6" s="233">
        <v>600</v>
      </c>
      <c r="H6" s="279">
        <v>2000</v>
      </c>
      <c r="I6" s="273">
        <f t="shared" si="0"/>
        <v>-1400</v>
      </c>
      <c r="J6" s="120">
        <f t="shared" si="1"/>
        <v>3.3333333333333335</v>
      </c>
    </row>
    <row r="7" spans="1:13" x14ac:dyDescent="0.25">
      <c r="A7" s="143" t="s">
        <v>165</v>
      </c>
      <c r="B7" s="144" t="s">
        <v>209</v>
      </c>
      <c r="C7" s="145" t="s">
        <v>218</v>
      </c>
      <c r="D7" s="145" t="s">
        <v>211</v>
      </c>
      <c r="E7" s="291">
        <v>2</v>
      </c>
      <c r="F7" s="146" t="s">
        <v>219</v>
      </c>
      <c r="G7" s="233">
        <v>600</v>
      </c>
      <c r="H7" s="279">
        <v>0</v>
      </c>
      <c r="I7" s="273">
        <f t="shared" si="0"/>
        <v>600</v>
      </c>
      <c r="J7" s="120">
        <f t="shared" si="1"/>
        <v>0</v>
      </c>
    </row>
    <row r="8" spans="1:13" x14ac:dyDescent="0.25">
      <c r="A8" s="143" t="s">
        <v>166</v>
      </c>
      <c r="B8" s="144" t="s">
        <v>209</v>
      </c>
      <c r="C8" s="145" t="s">
        <v>220</v>
      </c>
      <c r="D8" s="145" t="s">
        <v>221</v>
      </c>
      <c r="E8" s="291">
        <v>2</v>
      </c>
      <c r="F8" s="146" t="s">
        <v>212</v>
      </c>
      <c r="G8" s="233">
        <v>3885</v>
      </c>
      <c r="H8" s="279">
        <v>2730.9600000000005</v>
      </c>
      <c r="I8" s="273">
        <f t="shared" si="0"/>
        <v>1154.0399999999995</v>
      </c>
      <c r="J8" s="120">
        <f t="shared" si="1"/>
        <v>0.70294980694980702</v>
      </c>
    </row>
    <row r="9" spans="1:13" x14ac:dyDescent="0.25">
      <c r="A9" s="143" t="s">
        <v>166</v>
      </c>
      <c r="B9" s="144" t="s">
        <v>209</v>
      </c>
      <c r="C9" s="145" t="s">
        <v>222</v>
      </c>
      <c r="D9" s="145" t="s">
        <v>221</v>
      </c>
      <c r="E9" s="291">
        <v>2</v>
      </c>
      <c r="F9" s="146" t="s">
        <v>214</v>
      </c>
      <c r="G9" s="233">
        <v>80</v>
      </c>
      <c r="H9" s="279">
        <v>157.6</v>
      </c>
      <c r="I9" s="273">
        <f t="shared" si="0"/>
        <v>-77.599999999999994</v>
      </c>
      <c r="J9" s="120">
        <f t="shared" si="1"/>
        <v>1.97</v>
      </c>
    </row>
    <row r="10" spans="1:13" x14ac:dyDescent="0.25">
      <c r="A10" s="143" t="s">
        <v>166</v>
      </c>
      <c r="B10" s="144" t="s">
        <v>209</v>
      </c>
      <c r="C10" s="145" t="s">
        <v>223</v>
      </c>
      <c r="D10" s="145" t="s">
        <v>224</v>
      </c>
      <c r="E10" s="291">
        <v>4</v>
      </c>
      <c r="F10" s="146" t="s">
        <v>217</v>
      </c>
      <c r="G10" s="233">
        <v>420</v>
      </c>
      <c r="H10" s="279">
        <v>519</v>
      </c>
      <c r="I10" s="273">
        <f t="shared" si="0"/>
        <v>-99</v>
      </c>
      <c r="J10" s="120">
        <f t="shared" si="1"/>
        <v>1.2357142857142858</v>
      </c>
    </row>
    <row r="11" spans="1:13" x14ac:dyDescent="0.25">
      <c r="A11" s="143" t="s">
        <v>166</v>
      </c>
      <c r="B11" s="144" t="s">
        <v>209</v>
      </c>
      <c r="C11" s="145" t="s">
        <v>225</v>
      </c>
      <c r="D11" s="145" t="s">
        <v>221</v>
      </c>
      <c r="E11" s="291">
        <v>2</v>
      </c>
      <c r="F11" s="146" t="s">
        <v>226</v>
      </c>
      <c r="G11" s="233">
        <v>300</v>
      </c>
      <c r="H11" s="279">
        <v>0</v>
      </c>
      <c r="I11" s="273">
        <f t="shared" si="0"/>
        <v>300</v>
      </c>
      <c r="J11" s="120">
        <f t="shared" si="1"/>
        <v>0</v>
      </c>
    </row>
    <row r="12" spans="1:13" x14ac:dyDescent="0.25">
      <c r="A12" s="143" t="s">
        <v>227</v>
      </c>
      <c r="B12" s="144" t="s">
        <v>209</v>
      </c>
      <c r="C12" s="145" t="s">
        <v>228</v>
      </c>
      <c r="D12" s="145" t="s">
        <v>229</v>
      </c>
      <c r="E12" s="291">
        <v>3</v>
      </c>
      <c r="F12" s="146" t="s">
        <v>230</v>
      </c>
      <c r="G12" s="233">
        <v>750</v>
      </c>
      <c r="H12" s="279">
        <v>575</v>
      </c>
      <c r="I12" s="273">
        <f t="shared" si="0"/>
        <v>175</v>
      </c>
      <c r="J12" s="120">
        <f t="shared" si="1"/>
        <v>0.76666666666666672</v>
      </c>
    </row>
    <row r="13" spans="1:13" x14ac:dyDescent="0.25">
      <c r="A13" s="143" t="s">
        <v>227</v>
      </c>
      <c r="B13" s="144" t="s">
        <v>209</v>
      </c>
      <c r="C13" s="145" t="s">
        <v>231</v>
      </c>
      <c r="D13" s="145" t="s">
        <v>232</v>
      </c>
      <c r="E13" s="291">
        <v>5</v>
      </c>
      <c r="F13" s="146" t="s">
        <v>233</v>
      </c>
      <c r="G13" s="233">
        <v>210</v>
      </c>
      <c r="H13" s="279">
        <v>0</v>
      </c>
      <c r="I13" s="273">
        <f t="shared" si="0"/>
        <v>210</v>
      </c>
      <c r="J13" s="120">
        <f t="shared" si="1"/>
        <v>0</v>
      </c>
    </row>
    <row r="14" spans="1:13" x14ac:dyDescent="0.25">
      <c r="A14" s="143" t="s">
        <v>234</v>
      </c>
      <c r="B14" s="144" t="s">
        <v>209</v>
      </c>
      <c r="C14" s="145" t="s">
        <v>235</v>
      </c>
      <c r="D14" s="145" t="s">
        <v>236</v>
      </c>
      <c r="E14" s="291">
        <v>3</v>
      </c>
      <c r="F14" s="147" t="s">
        <v>237</v>
      </c>
      <c r="G14" s="234">
        <v>2200</v>
      </c>
      <c r="H14" s="279">
        <v>466.5</v>
      </c>
      <c r="I14" s="273">
        <f t="shared" si="0"/>
        <v>1733.5</v>
      </c>
      <c r="J14" s="120">
        <f t="shared" si="1"/>
        <v>0.21204545454545454</v>
      </c>
    </row>
    <row r="15" spans="1:13" x14ac:dyDescent="0.25">
      <c r="A15" s="143" t="s">
        <v>234</v>
      </c>
      <c r="B15" s="144" t="s">
        <v>209</v>
      </c>
      <c r="C15" s="145" t="s">
        <v>238</v>
      </c>
      <c r="D15" s="145" t="s">
        <v>239</v>
      </c>
      <c r="E15" s="291">
        <v>5</v>
      </c>
      <c r="F15" s="147" t="s">
        <v>240</v>
      </c>
      <c r="G15" s="233">
        <v>560</v>
      </c>
      <c r="H15" s="279">
        <v>1090</v>
      </c>
      <c r="I15" s="273">
        <f t="shared" si="0"/>
        <v>-530</v>
      </c>
      <c r="J15" s="120">
        <f t="shared" si="1"/>
        <v>1.9464285714285714</v>
      </c>
    </row>
    <row r="16" spans="1:13" x14ac:dyDescent="0.25">
      <c r="A16" s="141" t="s">
        <v>241</v>
      </c>
      <c r="B16" s="142" t="s">
        <v>242</v>
      </c>
      <c r="C16" s="142"/>
      <c r="D16" s="142"/>
      <c r="E16" s="142"/>
      <c r="F16" s="142"/>
      <c r="G16" s="232">
        <f>SUM(G17:G26)</f>
        <v>12554</v>
      </c>
      <c r="H16" s="266">
        <f>SUM(H17:H26)</f>
        <v>15343.52</v>
      </c>
      <c r="I16" s="273">
        <f t="shared" si="0"/>
        <v>-2789.5200000000004</v>
      </c>
      <c r="J16" s="120">
        <f t="shared" si="1"/>
        <v>1.2222016887047953</v>
      </c>
      <c r="L16" s="281">
        <f>G16/G2</f>
        <v>9.1669161512679898E-2</v>
      </c>
      <c r="M16" s="282">
        <f>H16/H2</f>
        <v>8.6487310363424913E-2</v>
      </c>
    </row>
    <row r="17" spans="1:13" x14ac:dyDescent="0.25">
      <c r="A17" s="143" t="s">
        <v>165</v>
      </c>
      <c r="B17" s="144" t="s">
        <v>209</v>
      </c>
      <c r="C17" s="145" t="s">
        <v>243</v>
      </c>
      <c r="D17" s="145" t="s">
        <v>211</v>
      </c>
      <c r="E17" s="291">
        <v>2</v>
      </c>
      <c r="F17" s="146" t="s">
        <v>244</v>
      </c>
      <c r="G17" s="233">
        <v>5180</v>
      </c>
      <c r="H17" s="279">
        <v>3760</v>
      </c>
      <c r="I17" s="273">
        <f t="shared" si="0"/>
        <v>1420</v>
      </c>
      <c r="J17" s="120">
        <f t="shared" si="1"/>
        <v>0.72586872586872586</v>
      </c>
    </row>
    <row r="18" spans="1:13" x14ac:dyDescent="0.25">
      <c r="A18" s="143" t="s">
        <v>165</v>
      </c>
      <c r="B18" s="144" t="s">
        <v>209</v>
      </c>
      <c r="C18" s="145" t="s">
        <v>245</v>
      </c>
      <c r="D18" s="145" t="s">
        <v>211</v>
      </c>
      <c r="E18" s="291">
        <v>2</v>
      </c>
      <c r="F18" s="146" t="s">
        <v>246</v>
      </c>
      <c r="G18" s="233">
        <v>160</v>
      </c>
      <c r="H18" s="279">
        <v>765</v>
      </c>
      <c r="I18" s="273">
        <f t="shared" si="0"/>
        <v>-605</v>
      </c>
      <c r="J18" s="120">
        <f t="shared" si="1"/>
        <v>4.78125</v>
      </c>
    </row>
    <row r="19" spans="1:13" x14ac:dyDescent="0.25">
      <c r="A19" s="143" t="s">
        <v>165</v>
      </c>
      <c r="B19" s="144" t="s">
        <v>209</v>
      </c>
      <c r="C19" s="145" t="s">
        <v>247</v>
      </c>
      <c r="D19" s="145" t="s">
        <v>216</v>
      </c>
      <c r="E19" s="291">
        <v>4</v>
      </c>
      <c r="F19" s="146" t="s">
        <v>248</v>
      </c>
      <c r="G19" s="233">
        <v>400</v>
      </c>
      <c r="H19" s="279">
        <v>4550</v>
      </c>
      <c r="I19" s="273">
        <f t="shared" si="0"/>
        <v>-4150</v>
      </c>
      <c r="J19" s="120">
        <f t="shared" si="1"/>
        <v>11.375</v>
      </c>
    </row>
    <row r="20" spans="1:13" x14ac:dyDescent="0.25">
      <c r="A20" s="143" t="s">
        <v>166</v>
      </c>
      <c r="B20" s="144" t="s">
        <v>209</v>
      </c>
      <c r="C20" s="145" t="s">
        <v>249</v>
      </c>
      <c r="D20" s="145" t="s">
        <v>221</v>
      </c>
      <c r="E20" s="291">
        <v>2</v>
      </c>
      <c r="F20" s="146" t="s">
        <v>244</v>
      </c>
      <c r="G20" s="233">
        <v>2590</v>
      </c>
      <c r="H20" s="279">
        <v>1357.22</v>
      </c>
      <c r="I20" s="273">
        <f t="shared" si="0"/>
        <v>1232.78</v>
      </c>
      <c r="J20" s="120">
        <f t="shared" si="1"/>
        <v>0.52402316602316601</v>
      </c>
    </row>
    <row r="21" spans="1:13" x14ac:dyDescent="0.25">
      <c r="A21" s="143" t="s">
        <v>166</v>
      </c>
      <c r="B21" s="144" t="s">
        <v>209</v>
      </c>
      <c r="C21" s="145" t="s">
        <v>250</v>
      </c>
      <c r="D21" s="145" t="s">
        <v>221</v>
      </c>
      <c r="E21" s="291">
        <v>2</v>
      </c>
      <c r="F21" s="146" t="s">
        <v>246</v>
      </c>
      <c r="G21" s="233">
        <v>80</v>
      </c>
      <c r="H21" s="279">
        <v>142</v>
      </c>
      <c r="I21" s="273">
        <f t="shared" si="0"/>
        <v>-62</v>
      </c>
      <c r="J21" s="120">
        <f t="shared" si="1"/>
        <v>1.7749999999999999</v>
      </c>
    </row>
    <row r="22" spans="1:13" x14ac:dyDescent="0.25">
      <c r="A22" s="143" t="s">
        <v>166</v>
      </c>
      <c r="B22" s="144" t="s">
        <v>209</v>
      </c>
      <c r="C22" s="145" t="s">
        <v>251</v>
      </c>
      <c r="D22" s="145" t="s">
        <v>224</v>
      </c>
      <c r="E22" s="291">
        <v>4</v>
      </c>
      <c r="F22" s="146" t="s">
        <v>248</v>
      </c>
      <c r="G22" s="233">
        <v>280</v>
      </c>
      <c r="H22" s="279">
        <v>1300</v>
      </c>
      <c r="I22" s="273">
        <f t="shared" si="0"/>
        <v>-1020</v>
      </c>
      <c r="J22" s="120">
        <f t="shared" si="1"/>
        <v>4.6428571428571432</v>
      </c>
    </row>
    <row r="23" spans="1:13" x14ac:dyDescent="0.25">
      <c r="A23" s="143" t="s">
        <v>227</v>
      </c>
      <c r="B23" s="144" t="s">
        <v>209</v>
      </c>
      <c r="C23" s="145" t="s">
        <v>252</v>
      </c>
      <c r="D23" s="145" t="s">
        <v>229</v>
      </c>
      <c r="E23" s="291">
        <v>3</v>
      </c>
      <c r="F23" s="146" t="s">
        <v>230</v>
      </c>
      <c r="G23" s="234">
        <v>744</v>
      </c>
      <c r="H23" s="279">
        <v>524</v>
      </c>
      <c r="I23" s="273">
        <f t="shared" si="0"/>
        <v>220</v>
      </c>
      <c r="J23" s="120">
        <f t="shared" si="1"/>
        <v>0.70430107526881724</v>
      </c>
    </row>
    <row r="24" spans="1:13" x14ac:dyDescent="0.25">
      <c r="A24" s="143" t="s">
        <v>227</v>
      </c>
      <c r="B24" s="144" t="s">
        <v>209</v>
      </c>
      <c r="C24" s="145" t="s">
        <v>253</v>
      </c>
      <c r="D24" s="145" t="s">
        <v>232</v>
      </c>
      <c r="E24" s="291">
        <v>5</v>
      </c>
      <c r="F24" s="146" t="s">
        <v>233</v>
      </c>
      <c r="G24" s="233">
        <v>210</v>
      </c>
      <c r="H24" s="279">
        <v>605</v>
      </c>
      <c r="I24" s="273">
        <f t="shared" si="0"/>
        <v>-395</v>
      </c>
      <c r="J24" s="120">
        <f t="shared" si="1"/>
        <v>2.8809523809523809</v>
      </c>
    </row>
    <row r="25" spans="1:13" x14ac:dyDescent="0.25">
      <c r="A25" s="143" t="s">
        <v>234</v>
      </c>
      <c r="B25" s="144" t="s">
        <v>209</v>
      </c>
      <c r="C25" s="145" t="s">
        <v>254</v>
      </c>
      <c r="D25" s="145" t="s">
        <v>236</v>
      </c>
      <c r="E25" s="291">
        <v>3</v>
      </c>
      <c r="F25" s="147" t="s">
        <v>237</v>
      </c>
      <c r="G25" s="234">
        <v>2350</v>
      </c>
      <c r="H25" s="279">
        <v>749.5</v>
      </c>
      <c r="I25" s="273">
        <f t="shared" si="0"/>
        <v>1600.5</v>
      </c>
      <c r="J25" s="120">
        <f t="shared" si="1"/>
        <v>0.31893617021276593</v>
      </c>
    </row>
    <row r="26" spans="1:13" x14ac:dyDescent="0.25">
      <c r="A26" s="143" t="s">
        <v>234</v>
      </c>
      <c r="B26" s="144" t="s">
        <v>209</v>
      </c>
      <c r="C26" s="145" t="s">
        <v>255</v>
      </c>
      <c r="D26" s="145" t="s">
        <v>239</v>
      </c>
      <c r="E26" s="291">
        <v>5</v>
      </c>
      <c r="F26" s="147" t="s">
        <v>240</v>
      </c>
      <c r="G26" s="233">
        <v>560</v>
      </c>
      <c r="H26" s="279">
        <v>1590.8000000000002</v>
      </c>
      <c r="I26" s="273">
        <f t="shared" si="0"/>
        <v>-1030.8000000000002</v>
      </c>
      <c r="J26" s="120">
        <f t="shared" si="1"/>
        <v>2.8407142857142862</v>
      </c>
    </row>
    <row r="27" spans="1:13" x14ac:dyDescent="0.25">
      <c r="A27" s="141" t="s">
        <v>256</v>
      </c>
      <c r="B27" s="142" t="s">
        <v>257</v>
      </c>
      <c r="C27" s="142"/>
      <c r="D27" s="142"/>
      <c r="E27" s="142"/>
      <c r="F27" s="142"/>
      <c r="G27" s="232">
        <f>SUM(G28:G38)</f>
        <v>106860</v>
      </c>
      <c r="H27" s="266">
        <f>SUM(H28:H38)</f>
        <v>145698.18</v>
      </c>
      <c r="I27" s="273">
        <f t="shared" si="0"/>
        <v>-38838.179999999993</v>
      </c>
      <c r="J27" s="120">
        <f t="shared" si="1"/>
        <v>1.3634491858506457</v>
      </c>
      <c r="L27" s="281">
        <f>G27/G2</f>
        <v>0.780290473095824</v>
      </c>
      <c r="M27" s="282">
        <f>H27/H2</f>
        <v>0.82126159532142218</v>
      </c>
    </row>
    <row r="28" spans="1:13" ht="25.5" x14ac:dyDescent="0.25">
      <c r="A28" s="148" t="s">
        <v>234</v>
      </c>
      <c r="B28" s="149" t="s">
        <v>209</v>
      </c>
      <c r="C28" s="150" t="s">
        <v>258</v>
      </c>
      <c r="D28" s="150" t="s">
        <v>259</v>
      </c>
      <c r="E28" s="292">
        <v>7</v>
      </c>
      <c r="F28" s="151" t="s">
        <v>260</v>
      </c>
      <c r="G28" s="235">
        <v>71000</v>
      </c>
      <c r="H28" s="279">
        <v>99288.39</v>
      </c>
      <c r="I28" s="273">
        <f t="shared" si="0"/>
        <v>-28288.39</v>
      </c>
      <c r="J28" s="120">
        <f t="shared" si="1"/>
        <v>1.398428028169014</v>
      </c>
    </row>
    <row r="29" spans="1:13" ht="25.5" x14ac:dyDescent="0.25">
      <c r="A29" s="148" t="s">
        <v>234</v>
      </c>
      <c r="B29" s="149" t="s">
        <v>209</v>
      </c>
      <c r="C29" s="150" t="s">
        <v>261</v>
      </c>
      <c r="D29" s="150" t="s">
        <v>259</v>
      </c>
      <c r="E29" s="292">
        <v>7</v>
      </c>
      <c r="F29" s="151" t="s">
        <v>262</v>
      </c>
      <c r="G29" s="236">
        <v>1000</v>
      </c>
      <c r="H29" s="279">
        <v>713.6</v>
      </c>
      <c r="I29" s="273">
        <f t="shared" si="0"/>
        <v>286.39999999999998</v>
      </c>
      <c r="J29" s="120">
        <f t="shared" si="1"/>
        <v>0.71360000000000001</v>
      </c>
    </row>
    <row r="30" spans="1:13" ht="25.5" x14ac:dyDescent="0.25">
      <c r="A30" s="152" t="s">
        <v>234</v>
      </c>
      <c r="B30" s="144" t="s">
        <v>209</v>
      </c>
      <c r="C30" s="145" t="s">
        <v>263</v>
      </c>
      <c r="D30" s="145" t="s">
        <v>259</v>
      </c>
      <c r="E30" s="287">
        <v>7</v>
      </c>
      <c r="F30" s="151" t="s">
        <v>264</v>
      </c>
      <c r="G30" s="234">
        <v>1000</v>
      </c>
      <c r="H30" s="279">
        <v>1426.12</v>
      </c>
      <c r="I30" s="273">
        <f t="shared" si="0"/>
        <v>-426.11999999999989</v>
      </c>
      <c r="J30" s="120">
        <f t="shared" si="1"/>
        <v>1.4261199999999998</v>
      </c>
    </row>
    <row r="31" spans="1:13" ht="25.5" x14ac:dyDescent="0.25">
      <c r="A31" s="152" t="s">
        <v>234</v>
      </c>
      <c r="B31" s="144" t="s">
        <v>209</v>
      </c>
      <c r="C31" s="145" t="s">
        <v>265</v>
      </c>
      <c r="D31" s="145" t="s">
        <v>259</v>
      </c>
      <c r="E31" s="287">
        <v>7</v>
      </c>
      <c r="F31" s="151" t="s">
        <v>266</v>
      </c>
      <c r="G31" s="234">
        <v>6700</v>
      </c>
      <c r="H31" s="279">
        <v>6791.98</v>
      </c>
      <c r="I31" s="273">
        <f t="shared" si="0"/>
        <v>-91.979999999999563</v>
      </c>
      <c r="J31" s="120">
        <f t="shared" si="1"/>
        <v>1.0137283582089551</v>
      </c>
    </row>
    <row r="32" spans="1:13" ht="25.5" x14ac:dyDescent="0.25">
      <c r="A32" s="148" t="s">
        <v>234</v>
      </c>
      <c r="B32" s="149" t="s">
        <v>209</v>
      </c>
      <c r="C32" s="150" t="s">
        <v>267</v>
      </c>
      <c r="D32" s="150" t="s">
        <v>268</v>
      </c>
      <c r="E32" s="292">
        <v>2</v>
      </c>
      <c r="F32" s="151" t="s">
        <v>269</v>
      </c>
      <c r="G32" s="235">
        <v>3922.5</v>
      </c>
      <c r="H32" s="279">
        <v>5221.6400000000003</v>
      </c>
      <c r="I32" s="273">
        <f t="shared" si="0"/>
        <v>-1299.1400000000003</v>
      </c>
      <c r="J32" s="120">
        <f t="shared" si="1"/>
        <v>1.3312020395156152</v>
      </c>
    </row>
    <row r="33" spans="1:13" ht="25.5" x14ac:dyDescent="0.25">
      <c r="A33" s="148" t="s">
        <v>234</v>
      </c>
      <c r="B33" s="149" t="s">
        <v>209</v>
      </c>
      <c r="C33" s="150" t="s">
        <v>270</v>
      </c>
      <c r="D33" s="150" t="s">
        <v>259</v>
      </c>
      <c r="E33" s="292">
        <v>7</v>
      </c>
      <c r="F33" s="151" t="s">
        <v>271</v>
      </c>
      <c r="G33" s="236">
        <v>12300</v>
      </c>
      <c r="H33" s="279">
        <v>8547.130000000001</v>
      </c>
      <c r="I33" s="273">
        <f t="shared" si="0"/>
        <v>3752.869999999999</v>
      </c>
      <c r="J33" s="120">
        <f t="shared" si="1"/>
        <v>0.69488861788617895</v>
      </c>
    </row>
    <row r="34" spans="1:13" x14ac:dyDescent="0.25">
      <c r="A34" s="153" t="s">
        <v>234</v>
      </c>
      <c r="B34" s="154" t="s">
        <v>209</v>
      </c>
      <c r="C34" s="155" t="s">
        <v>272</v>
      </c>
      <c r="D34" s="155" t="s">
        <v>259</v>
      </c>
      <c r="E34" s="286">
        <v>7</v>
      </c>
      <c r="F34" s="156" t="s">
        <v>273</v>
      </c>
      <c r="G34" s="237">
        <v>57.5</v>
      </c>
      <c r="H34" s="279">
        <v>20</v>
      </c>
      <c r="I34" s="273">
        <f t="shared" si="0"/>
        <v>37.5</v>
      </c>
      <c r="J34" s="120">
        <f t="shared" si="1"/>
        <v>0.34782608695652173</v>
      </c>
    </row>
    <row r="35" spans="1:13" x14ac:dyDescent="0.25">
      <c r="A35" s="153" t="s">
        <v>234</v>
      </c>
      <c r="B35" s="154" t="s">
        <v>209</v>
      </c>
      <c r="C35" s="155" t="s">
        <v>274</v>
      </c>
      <c r="D35" s="155" t="s">
        <v>259</v>
      </c>
      <c r="E35" s="286">
        <v>7</v>
      </c>
      <c r="F35" s="156" t="s">
        <v>275</v>
      </c>
      <c r="G35" s="237">
        <v>0</v>
      </c>
      <c r="H35" s="279">
        <v>0</v>
      </c>
      <c r="I35" s="273">
        <f t="shared" si="0"/>
        <v>0</v>
      </c>
      <c r="J35" s="120" t="e">
        <f t="shared" si="1"/>
        <v>#DIV/0!</v>
      </c>
    </row>
    <row r="36" spans="1:13" ht="15" customHeight="1" x14ac:dyDescent="0.25">
      <c r="A36" s="153" t="s">
        <v>234</v>
      </c>
      <c r="B36" s="154" t="s">
        <v>209</v>
      </c>
      <c r="C36" s="155" t="s">
        <v>276</v>
      </c>
      <c r="D36" s="155" t="s">
        <v>259</v>
      </c>
      <c r="E36" s="286">
        <v>7</v>
      </c>
      <c r="F36" s="156" t="s">
        <v>277</v>
      </c>
      <c r="G36" s="237">
        <v>8870</v>
      </c>
      <c r="H36" s="279">
        <v>19149.869999999995</v>
      </c>
      <c r="I36" s="273">
        <f t="shared" si="0"/>
        <v>-10279.869999999995</v>
      </c>
      <c r="J36" s="120">
        <f t="shared" si="1"/>
        <v>2.1589481397970682</v>
      </c>
    </row>
    <row r="37" spans="1:13" x14ac:dyDescent="0.25">
      <c r="A37" s="143" t="s">
        <v>234</v>
      </c>
      <c r="B37" s="144" t="s">
        <v>209</v>
      </c>
      <c r="C37" s="145" t="s">
        <v>278</v>
      </c>
      <c r="D37" s="145" t="s">
        <v>236</v>
      </c>
      <c r="E37" s="291">
        <v>3</v>
      </c>
      <c r="F37" s="147" t="s">
        <v>237</v>
      </c>
      <c r="G37" s="234">
        <v>1000</v>
      </c>
      <c r="H37" s="279">
        <v>0</v>
      </c>
      <c r="I37" s="273">
        <f t="shared" si="0"/>
        <v>1000</v>
      </c>
      <c r="J37" s="120">
        <f t="shared" si="1"/>
        <v>0</v>
      </c>
    </row>
    <row r="38" spans="1:13" x14ac:dyDescent="0.25">
      <c r="A38" s="143" t="s">
        <v>234</v>
      </c>
      <c r="B38" s="144" t="s">
        <v>209</v>
      </c>
      <c r="C38" s="145" t="s">
        <v>279</v>
      </c>
      <c r="D38" s="145" t="s">
        <v>239</v>
      </c>
      <c r="E38" s="291">
        <v>5</v>
      </c>
      <c r="F38" s="147" t="s">
        <v>240</v>
      </c>
      <c r="G38" s="234">
        <v>1010</v>
      </c>
      <c r="H38" s="279">
        <v>4539.45</v>
      </c>
      <c r="I38" s="273">
        <f t="shared" si="0"/>
        <v>-3529.45</v>
      </c>
      <c r="J38" s="120">
        <f t="shared" si="1"/>
        <v>4.4945049504950489</v>
      </c>
    </row>
    <row r="39" spans="1:13" x14ac:dyDescent="0.25">
      <c r="A39" s="157" t="s">
        <v>280</v>
      </c>
      <c r="B39" s="140" t="s">
        <v>281</v>
      </c>
      <c r="C39" s="140"/>
      <c r="D39" s="140"/>
      <c r="E39" s="140"/>
      <c r="F39" s="140"/>
      <c r="G39" s="238">
        <f>G40+G49+G58</f>
        <v>20647.5</v>
      </c>
      <c r="H39" s="238">
        <f>H40+H49+H58</f>
        <v>18478.09</v>
      </c>
      <c r="I39" s="273">
        <f t="shared" si="0"/>
        <v>2169.41</v>
      </c>
      <c r="J39" s="120">
        <f t="shared" si="1"/>
        <v>0.89493110546070953</v>
      </c>
      <c r="L39" s="283">
        <f>G39/G288</f>
        <v>1.6518000105715414E-2</v>
      </c>
      <c r="M39" s="284">
        <f>H39/H288</f>
        <v>1.5982448378298972E-2</v>
      </c>
    </row>
    <row r="40" spans="1:13" x14ac:dyDescent="0.25">
      <c r="A40" s="141" t="s">
        <v>282</v>
      </c>
      <c r="B40" s="142" t="s">
        <v>283</v>
      </c>
      <c r="C40" s="142"/>
      <c r="D40" s="142"/>
      <c r="E40" s="142"/>
      <c r="F40" s="142"/>
      <c r="G40" s="232">
        <f>SUM(G41:G48)</f>
        <v>5000</v>
      </c>
      <c r="H40" s="266">
        <f>SUM(H41:H48)</f>
        <v>9772.59</v>
      </c>
      <c r="I40" s="273">
        <f t="shared" si="0"/>
        <v>-4772.59</v>
      </c>
      <c r="J40" s="120">
        <f t="shared" si="1"/>
        <v>1.954518</v>
      </c>
      <c r="L40" s="281">
        <f>G40/G39</f>
        <v>0.242160067804819</v>
      </c>
      <c r="M40" s="282">
        <f>H40/H39</f>
        <v>0.52887446700389484</v>
      </c>
    </row>
    <row r="41" spans="1:13" x14ac:dyDescent="0.25">
      <c r="A41" s="143" t="s">
        <v>165</v>
      </c>
      <c r="B41" s="144" t="s">
        <v>209</v>
      </c>
      <c r="C41" s="145" t="s">
        <v>284</v>
      </c>
      <c r="D41" s="145" t="s">
        <v>211</v>
      </c>
      <c r="E41" s="291">
        <v>2</v>
      </c>
      <c r="F41" s="146" t="s">
        <v>285</v>
      </c>
      <c r="G41" s="233">
        <v>2520</v>
      </c>
      <c r="H41" s="279">
        <v>3166</v>
      </c>
      <c r="I41" s="273">
        <f t="shared" si="0"/>
        <v>-646</v>
      </c>
      <c r="J41" s="120">
        <f t="shared" si="1"/>
        <v>1.2563492063492063</v>
      </c>
    </row>
    <row r="42" spans="1:13" x14ac:dyDescent="0.25">
      <c r="A42" s="143" t="s">
        <v>165</v>
      </c>
      <c r="B42" s="144" t="s">
        <v>209</v>
      </c>
      <c r="C42" s="145" t="s">
        <v>286</v>
      </c>
      <c r="D42" s="145" t="s">
        <v>211</v>
      </c>
      <c r="E42" s="291">
        <v>2</v>
      </c>
      <c r="F42" s="146" t="s">
        <v>287</v>
      </c>
      <c r="G42" s="233">
        <v>200</v>
      </c>
      <c r="H42" s="279">
        <v>535</v>
      </c>
      <c r="I42" s="273">
        <f t="shared" si="0"/>
        <v>-335</v>
      </c>
      <c r="J42" s="120">
        <f t="shared" si="1"/>
        <v>2.6749999999999998</v>
      </c>
    </row>
    <row r="43" spans="1:13" x14ac:dyDescent="0.25">
      <c r="A43" s="143" t="s">
        <v>166</v>
      </c>
      <c r="B43" s="144" t="s">
        <v>209</v>
      </c>
      <c r="C43" s="145" t="s">
        <v>288</v>
      </c>
      <c r="D43" s="145" t="s">
        <v>221</v>
      </c>
      <c r="E43" s="291">
        <v>2</v>
      </c>
      <c r="F43" s="146" t="s">
        <v>285</v>
      </c>
      <c r="G43" s="233">
        <v>1260</v>
      </c>
      <c r="H43" s="279">
        <v>765.75999999999988</v>
      </c>
      <c r="I43" s="273">
        <f t="shared" si="0"/>
        <v>494.24000000000012</v>
      </c>
      <c r="J43" s="120">
        <f t="shared" si="1"/>
        <v>0.6077460317460317</v>
      </c>
    </row>
    <row r="44" spans="1:13" x14ac:dyDescent="0.25">
      <c r="A44" s="143" t="s">
        <v>166</v>
      </c>
      <c r="B44" s="144" t="s">
        <v>209</v>
      </c>
      <c r="C44" s="145" t="s">
        <v>289</v>
      </c>
      <c r="D44" s="145" t="s">
        <v>221</v>
      </c>
      <c r="E44" s="291">
        <v>2</v>
      </c>
      <c r="F44" s="146" t="s">
        <v>287</v>
      </c>
      <c r="G44" s="233">
        <v>100</v>
      </c>
      <c r="H44" s="279">
        <v>377.5</v>
      </c>
      <c r="I44" s="273">
        <f t="shared" si="0"/>
        <v>-277.5</v>
      </c>
      <c r="J44" s="120">
        <f t="shared" si="1"/>
        <v>3.7749999999999999</v>
      </c>
    </row>
    <row r="45" spans="1:13" x14ac:dyDescent="0.25">
      <c r="A45" s="143" t="s">
        <v>227</v>
      </c>
      <c r="B45" s="144" t="s">
        <v>209</v>
      </c>
      <c r="C45" s="145" t="s">
        <v>290</v>
      </c>
      <c r="D45" s="145" t="s">
        <v>229</v>
      </c>
      <c r="E45" s="291">
        <v>3</v>
      </c>
      <c r="F45" s="146" t="s">
        <v>230</v>
      </c>
      <c r="G45" s="233">
        <v>500</v>
      </c>
      <c r="H45" s="279">
        <v>400</v>
      </c>
      <c r="I45" s="273">
        <f t="shared" si="0"/>
        <v>100</v>
      </c>
      <c r="J45" s="120">
        <f t="shared" si="1"/>
        <v>0.8</v>
      </c>
    </row>
    <row r="46" spans="1:13" x14ac:dyDescent="0.25">
      <c r="A46" s="143" t="s">
        <v>227</v>
      </c>
      <c r="B46" s="144" t="s">
        <v>209</v>
      </c>
      <c r="C46" s="145" t="s">
        <v>291</v>
      </c>
      <c r="D46" s="145" t="s">
        <v>232</v>
      </c>
      <c r="E46" s="291">
        <v>5</v>
      </c>
      <c r="F46" s="146" t="s">
        <v>233</v>
      </c>
      <c r="G46" s="233">
        <v>140</v>
      </c>
      <c r="H46" s="279">
        <v>0</v>
      </c>
      <c r="I46" s="273">
        <f t="shared" si="0"/>
        <v>140</v>
      </c>
      <c r="J46" s="120">
        <f t="shared" si="1"/>
        <v>0</v>
      </c>
    </row>
    <row r="47" spans="1:13" x14ac:dyDescent="0.25">
      <c r="A47" s="143" t="s">
        <v>234</v>
      </c>
      <c r="B47" s="144" t="s">
        <v>209</v>
      </c>
      <c r="C47" s="145" t="s">
        <v>292</v>
      </c>
      <c r="D47" s="145" t="s">
        <v>236</v>
      </c>
      <c r="E47" s="291">
        <v>3</v>
      </c>
      <c r="F47" s="147" t="s">
        <v>237</v>
      </c>
      <c r="G47" s="234">
        <v>0</v>
      </c>
      <c r="H47" s="279">
        <v>3319.33</v>
      </c>
      <c r="I47" s="273">
        <f t="shared" si="0"/>
        <v>-3319.33</v>
      </c>
      <c r="J47" s="120" t="e">
        <f t="shared" si="1"/>
        <v>#DIV/0!</v>
      </c>
    </row>
    <row r="48" spans="1:13" x14ac:dyDescent="0.25">
      <c r="A48" s="143" t="s">
        <v>234</v>
      </c>
      <c r="B48" s="144" t="s">
        <v>209</v>
      </c>
      <c r="C48" s="145" t="s">
        <v>293</v>
      </c>
      <c r="D48" s="145" t="s">
        <v>239</v>
      </c>
      <c r="E48" s="291">
        <v>5</v>
      </c>
      <c r="F48" s="147" t="s">
        <v>240</v>
      </c>
      <c r="G48" s="233">
        <v>280</v>
      </c>
      <c r="H48" s="279">
        <v>1209</v>
      </c>
      <c r="I48" s="273">
        <f t="shared" si="0"/>
        <v>-929</v>
      </c>
      <c r="J48" s="120">
        <f t="shared" si="1"/>
        <v>4.3178571428571431</v>
      </c>
    </row>
    <row r="49" spans="1:13" x14ac:dyDescent="0.25">
      <c r="A49" s="141" t="s">
        <v>294</v>
      </c>
      <c r="B49" s="142" t="s">
        <v>295</v>
      </c>
      <c r="C49" s="142"/>
      <c r="D49" s="142"/>
      <c r="E49" s="142"/>
      <c r="F49" s="142"/>
      <c r="G49" s="232">
        <f>SUM(G50:G57)</f>
        <v>7047.5</v>
      </c>
      <c r="H49" s="266">
        <f>SUM(H50:H57)</f>
        <v>5498.5</v>
      </c>
      <c r="I49" s="273">
        <f t="shared" si="0"/>
        <v>1549</v>
      </c>
      <c r="J49" s="120">
        <f t="shared" si="1"/>
        <v>0.78020574671869458</v>
      </c>
      <c r="L49" s="281">
        <f>G49/G39</f>
        <v>0.34132461557089239</v>
      </c>
      <c r="M49" s="282">
        <f>H49/H39</f>
        <v>0.29756863398760369</v>
      </c>
    </row>
    <row r="50" spans="1:13" x14ac:dyDescent="0.25">
      <c r="A50" s="143" t="s">
        <v>165</v>
      </c>
      <c r="B50" s="144" t="s">
        <v>209</v>
      </c>
      <c r="C50" s="145" t="s">
        <v>296</v>
      </c>
      <c r="D50" s="145" t="s">
        <v>211</v>
      </c>
      <c r="E50" s="291">
        <v>2</v>
      </c>
      <c r="F50" s="146" t="s">
        <v>297</v>
      </c>
      <c r="G50" s="233">
        <v>3885</v>
      </c>
      <c r="H50" s="279">
        <v>2914</v>
      </c>
      <c r="I50" s="273">
        <f t="shared" si="0"/>
        <v>971</v>
      </c>
      <c r="J50" s="120">
        <f t="shared" si="1"/>
        <v>0.75006435006435002</v>
      </c>
    </row>
    <row r="51" spans="1:13" x14ac:dyDescent="0.25">
      <c r="A51" s="143" t="s">
        <v>165</v>
      </c>
      <c r="B51" s="144" t="s">
        <v>209</v>
      </c>
      <c r="C51" s="145" t="s">
        <v>298</v>
      </c>
      <c r="D51" s="145" t="s">
        <v>211</v>
      </c>
      <c r="E51" s="291">
        <v>2</v>
      </c>
      <c r="F51" s="146" t="s">
        <v>299</v>
      </c>
      <c r="G51" s="233">
        <v>200</v>
      </c>
      <c r="H51" s="279">
        <v>80</v>
      </c>
      <c r="I51" s="273">
        <f t="shared" si="0"/>
        <v>120</v>
      </c>
      <c r="J51" s="120">
        <f t="shared" si="1"/>
        <v>0.4</v>
      </c>
    </row>
    <row r="52" spans="1:13" x14ac:dyDescent="0.25">
      <c r="A52" s="143" t="s">
        <v>166</v>
      </c>
      <c r="B52" s="144" t="s">
        <v>209</v>
      </c>
      <c r="C52" s="145" t="s">
        <v>300</v>
      </c>
      <c r="D52" s="145" t="s">
        <v>221</v>
      </c>
      <c r="E52" s="291">
        <v>2</v>
      </c>
      <c r="F52" s="146" t="s">
        <v>297</v>
      </c>
      <c r="G52" s="239">
        <v>1942.5</v>
      </c>
      <c r="H52" s="279">
        <v>1174.5</v>
      </c>
      <c r="I52" s="273">
        <f t="shared" si="0"/>
        <v>768</v>
      </c>
      <c r="J52" s="120">
        <f t="shared" si="1"/>
        <v>0.60463320463320458</v>
      </c>
    </row>
    <row r="53" spans="1:13" x14ac:dyDescent="0.25">
      <c r="A53" s="143" t="s">
        <v>166</v>
      </c>
      <c r="B53" s="144" t="s">
        <v>209</v>
      </c>
      <c r="C53" s="145" t="s">
        <v>301</v>
      </c>
      <c r="D53" s="145" t="s">
        <v>221</v>
      </c>
      <c r="E53" s="291">
        <v>2</v>
      </c>
      <c r="F53" s="146" t="s">
        <v>299</v>
      </c>
      <c r="G53" s="239">
        <v>100</v>
      </c>
      <c r="H53" s="279">
        <v>330</v>
      </c>
      <c r="I53" s="273">
        <f t="shared" si="0"/>
        <v>-230</v>
      </c>
      <c r="J53" s="120">
        <f t="shared" si="1"/>
        <v>3.3</v>
      </c>
    </row>
    <row r="54" spans="1:13" x14ac:dyDescent="0.25">
      <c r="A54" s="143" t="s">
        <v>227</v>
      </c>
      <c r="B54" s="144" t="s">
        <v>209</v>
      </c>
      <c r="C54" s="145" t="s">
        <v>302</v>
      </c>
      <c r="D54" s="145" t="s">
        <v>229</v>
      </c>
      <c r="E54" s="291">
        <v>3</v>
      </c>
      <c r="F54" s="146" t="s">
        <v>230</v>
      </c>
      <c r="G54" s="233">
        <v>500</v>
      </c>
      <c r="H54" s="279">
        <v>0</v>
      </c>
      <c r="I54" s="273">
        <f t="shared" si="0"/>
        <v>500</v>
      </c>
      <c r="J54" s="120">
        <f t="shared" si="1"/>
        <v>0</v>
      </c>
    </row>
    <row r="55" spans="1:13" x14ac:dyDescent="0.25">
      <c r="A55" s="143" t="s">
        <v>227</v>
      </c>
      <c r="B55" s="144" t="s">
        <v>209</v>
      </c>
      <c r="C55" s="145" t="s">
        <v>303</v>
      </c>
      <c r="D55" s="145" t="s">
        <v>232</v>
      </c>
      <c r="E55" s="291">
        <v>5</v>
      </c>
      <c r="F55" s="146" t="s">
        <v>233</v>
      </c>
      <c r="G55" s="233">
        <v>140</v>
      </c>
      <c r="H55" s="279">
        <v>860</v>
      </c>
      <c r="I55" s="273">
        <f t="shared" si="0"/>
        <v>-720</v>
      </c>
      <c r="J55" s="120">
        <f t="shared" si="1"/>
        <v>6.1428571428571432</v>
      </c>
    </row>
    <row r="56" spans="1:13" x14ac:dyDescent="0.25">
      <c r="A56" s="143" t="s">
        <v>234</v>
      </c>
      <c r="B56" s="144" t="s">
        <v>209</v>
      </c>
      <c r="C56" s="145" t="s">
        <v>304</v>
      </c>
      <c r="D56" s="145" t="s">
        <v>236</v>
      </c>
      <c r="E56" s="291">
        <v>3</v>
      </c>
      <c r="F56" s="147" t="s">
        <v>237</v>
      </c>
      <c r="G56" s="234">
        <v>0</v>
      </c>
      <c r="H56" s="279">
        <v>0</v>
      </c>
      <c r="I56" s="273">
        <f t="shared" si="0"/>
        <v>0</v>
      </c>
      <c r="J56" s="120" t="e">
        <f t="shared" si="1"/>
        <v>#DIV/0!</v>
      </c>
    </row>
    <row r="57" spans="1:13" x14ac:dyDescent="0.25">
      <c r="A57" s="143" t="s">
        <v>234</v>
      </c>
      <c r="B57" s="144" t="s">
        <v>209</v>
      </c>
      <c r="C57" s="145" t="s">
        <v>305</v>
      </c>
      <c r="D57" s="145" t="s">
        <v>239</v>
      </c>
      <c r="E57" s="291">
        <v>5</v>
      </c>
      <c r="F57" s="147" t="s">
        <v>240</v>
      </c>
      <c r="G57" s="233">
        <v>280</v>
      </c>
      <c r="H57" s="279">
        <v>140</v>
      </c>
      <c r="I57" s="273">
        <f t="shared" si="0"/>
        <v>140</v>
      </c>
      <c r="J57" s="120">
        <f t="shared" si="1"/>
        <v>0.5</v>
      </c>
    </row>
    <row r="58" spans="1:13" x14ac:dyDescent="0.25">
      <c r="A58" s="141" t="s">
        <v>306</v>
      </c>
      <c r="B58" s="142" t="s">
        <v>307</v>
      </c>
      <c r="C58" s="142"/>
      <c r="D58" s="142"/>
      <c r="E58" s="142"/>
      <c r="F58" s="142"/>
      <c r="G58" s="232">
        <f>SUM(G59:G66)</f>
        <v>8600</v>
      </c>
      <c r="H58" s="266">
        <f>SUM(H59:H66)</f>
        <v>3207</v>
      </c>
      <c r="I58" s="273">
        <f t="shared" si="0"/>
        <v>5393</v>
      </c>
      <c r="J58" s="120">
        <f t="shared" si="1"/>
        <v>0.37290697674418605</v>
      </c>
      <c r="L58" s="281">
        <f>G58/G39</f>
        <v>0.41651531662428865</v>
      </c>
      <c r="M58" s="282">
        <f>H58/H39</f>
        <v>0.17355689900850141</v>
      </c>
    </row>
    <row r="59" spans="1:13" x14ac:dyDescent="0.25">
      <c r="A59" s="143" t="s">
        <v>165</v>
      </c>
      <c r="B59" s="144" t="s">
        <v>209</v>
      </c>
      <c r="C59" s="145" t="s">
        <v>308</v>
      </c>
      <c r="D59" s="145" t="s">
        <v>211</v>
      </c>
      <c r="E59" s="291">
        <v>2</v>
      </c>
      <c r="F59" s="146" t="s">
        <v>309</v>
      </c>
      <c r="G59" s="233">
        <v>2604</v>
      </c>
      <c r="H59" s="279">
        <v>0</v>
      </c>
      <c r="I59" s="273">
        <f t="shared" si="0"/>
        <v>2604</v>
      </c>
      <c r="J59" s="120">
        <f t="shared" si="1"/>
        <v>0</v>
      </c>
    </row>
    <row r="60" spans="1:13" x14ac:dyDescent="0.25">
      <c r="A60" s="143" t="s">
        <v>165</v>
      </c>
      <c r="B60" s="144" t="s">
        <v>209</v>
      </c>
      <c r="C60" s="145" t="s">
        <v>310</v>
      </c>
      <c r="D60" s="145" t="s">
        <v>211</v>
      </c>
      <c r="E60" s="291">
        <v>2</v>
      </c>
      <c r="F60" s="146" t="s">
        <v>311</v>
      </c>
      <c r="G60" s="233">
        <v>1600</v>
      </c>
      <c r="H60" s="279">
        <v>0</v>
      </c>
      <c r="I60" s="273">
        <f t="shared" si="0"/>
        <v>1600</v>
      </c>
      <c r="J60" s="120">
        <f t="shared" si="1"/>
        <v>0</v>
      </c>
    </row>
    <row r="61" spans="1:13" x14ac:dyDescent="0.25">
      <c r="A61" s="143" t="s">
        <v>165</v>
      </c>
      <c r="B61" s="144" t="s">
        <v>209</v>
      </c>
      <c r="C61" s="145" t="s">
        <v>312</v>
      </c>
      <c r="D61" s="145" t="s">
        <v>211</v>
      </c>
      <c r="E61" s="291">
        <v>2</v>
      </c>
      <c r="F61" s="146" t="s">
        <v>313</v>
      </c>
      <c r="G61" s="233">
        <v>96</v>
      </c>
      <c r="H61" s="279">
        <v>0</v>
      </c>
      <c r="I61" s="273">
        <f t="shared" si="0"/>
        <v>96</v>
      </c>
      <c r="J61" s="120">
        <f t="shared" si="1"/>
        <v>0</v>
      </c>
    </row>
    <row r="62" spans="1:13" x14ac:dyDescent="0.25">
      <c r="A62" s="143" t="s">
        <v>166</v>
      </c>
      <c r="B62" s="144" t="s">
        <v>209</v>
      </c>
      <c r="C62" s="145" t="s">
        <v>314</v>
      </c>
      <c r="D62" s="145" t="s">
        <v>221</v>
      </c>
      <c r="E62" s="291">
        <v>2</v>
      </c>
      <c r="F62" s="146" t="s">
        <v>309</v>
      </c>
      <c r="G62" s="233">
        <v>2604</v>
      </c>
      <c r="H62" s="279">
        <v>1191</v>
      </c>
      <c r="I62" s="273">
        <f t="shared" si="0"/>
        <v>1413</v>
      </c>
      <c r="J62" s="120">
        <f t="shared" si="1"/>
        <v>0.45737327188940091</v>
      </c>
    </row>
    <row r="63" spans="1:13" x14ac:dyDescent="0.25">
      <c r="A63" s="143" t="s">
        <v>166</v>
      </c>
      <c r="B63" s="144" t="s">
        <v>209</v>
      </c>
      <c r="C63" s="145" t="s">
        <v>315</v>
      </c>
      <c r="D63" s="145" t="s">
        <v>221</v>
      </c>
      <c r="E63" s="291">
        <v>2</v>
      </c>
      <c r="F63" s="146" t="s">
        <v>311</v>
      </c>
      <c r="G63" s="233">
        <v>1600</v>
      </c>
      <c r="H63" s="279">
        <v>1924</v>
      </c>
      <c r="I63" s="273">
        <f t="shared" si="0"/>
        <v>-324</v>
      </c>
      <c r="J63" s="120">
        <f t="shared" si="1"/>
        <v>1.2024999999999999</v>
      </c>
    </row>
    <row r="64" spans="1:13" x14ac:dyDescent="0.25">
      <c r="A64" s="143" t="s">
        <v>166</v>
      </c>
      <c r="B64" s="144" t="s">
        <v>209</v>
      </c>
      <c r="C64" s="145" t="s">
        <v>316</v>
      </c>
      <c r="D64" s="145" t="s">
        <v>221</v>
      </c>
      <c r="E64" s="291">
        <v>2</v>
      </c>
      <c r="F64" s="146" t="s">
        <v>313</v>
      </c>
      <c r="G64" s="233">
        <v>96</v>
      </c>
      <c r="H64" s="279">
        <v>92</v>
      </c>
      <c r="I64" s="273">
        <f t="shared" si="0"/>
        <v>4</v>
      </c>
      <c r="J64" s="120">
        <f t="shared" si="1"/>
        <v>0.95833333333333337</v>
      </c>
    </row>
    <row r="65" spans="1:13" x14ac:dyDescent="0.25">
      <c r="A65" s="143" t="s">
        <v>234</v>
      </c>
      <c r="B65" s="144" t="s">
        <v>209</v>
      </c>
      <c r="C65" s="145" t="s">
        <v>317</v>
      </c>
      <c r="D65" s="145" t="s">
        <v>236</v>
      </c>
      <c r="E65" s="291">
        <v>3</v>
      </c>
      <c r="F65" s="147" t="s">
        <v>237</v>
      </c>
      <c r="G65" s="234">
        <v>0</v>
      </c>
      <c r="H65" s="279">
        <v>0</v>
      </c>
      <c r="I65" s="273">
        <f t="shared" si="0"/>
        <v>0</v>
      </c>
      <c r="J65" s="120" t="e">
        <f t="shared" si="1"/>
        <v>#DIV/0!</v>
      </c>
    </row>
    <row r="66" spans="1:13" x14ac:dyDescent="0.25">
      <c r="A66" s="143" t="s">
        <v>234</v>
      </c>
      <c r="B66" s="144" t="s">
        <v>209</v>
      </c>
      <c r="C66" s="145" t="s">
        <v>318</v>
      </c>
      <c r="D66" s="145" t="s">
        <v>239</v>
      </c>
      <c r="E66" s="291">
        <v>5</v>
      </c>
      <c r="F66" s="147" t="s">
        <v>240</v>
      </c>
      <c r="G66" s="240">
        <v>0</v>
      </c>
      <c r="H66" s="279">
        <v>0</v>
      </c>
      <c r="I66" s="273">
        <f t="shared" si="0"/>
        <v>0</v>
      </c>
      <c r="J66" s="120" t="e">
        <f t="shared" si="1"/>
        <v>#DIV/0!</v>
      </c>
    </row>
    <row r="67" spans="1:13" x14ac:dyDescent="0.25">
      <c r="A67" s="157" t="s">
        <v>319</v>
      </c>
      <c r="B67" s="140" t="s">
        <v>320</v>
      </c>
      <c r="C67" s="140"/>
      <c r="D67" s="140"/>
      <c r="E67" s="140"/>
      <c r="F67" s="140"/>
      <c r="G67" s="241">
        <f>G68+G78+G88</f>
        <v>64503.5</v>
      </c>
      <c r="H67" s="241">
        <f>H68+H78+H88</f>
        <v>51916.5</v>
      </c>
      <c r="I67" s="273">
        <f t="shared" ref="I67:I130" si="2">G67-H67</f>
        <v>12587</v>
      </c>
      <c r="J67" s="120">
        <f t="shared" ref="J67:J130" si="3">H67/G67</f>
        <v>0.8048633019913648</v>
      </c>
      <c r="L67" s="283">
        <f>G67/G288</f>
        <v>5.1602800330258589E-2</v>
      </c>
      <c r="M67" s="284">
        <f>H67/H288</f>
        <v>4.4904683397037168E-2</v>
      </c>
    </row>
    <row r="68" spans="1:13" x14ac:dyDescent="0.25">
      <c r="A68" s="141" t="s">
        <v>321</v>
      </c>
      <c r="B68" s="142" t="s">
        <v>322</v>
      </c>
      <c r="C68" s="142"/>
      <c r="D68" s="142"/>
      <c r="E68" s="142"/>
      <c r="F68" s="142"/>
      <c r="G68" s="232">
        <f>SUM(G69:G77)</f>
        <v>10319</v>
      </c>
      <c r="H68" s="266">
        <f>SUM(H69:H77)</f>
        <v>9798</v>
      </c>
      <c r="I68" s="273">
        <f t="shared" si="2"/>
        <v>521</v>
      </c>
      <c r="J68" s="120">
        <f t="shared" si="3"/>
        <v>0.9495106114933618</v>
      </c>
      <c r="L68" s="281">
        <f>G68/G67</f>
        <v>0.15997581526583829</v>
      </c>
      <c r="M68" s="282">
        <f>H68/H67</f>
        <v>0.18872612753170956</v>
      </c>
    </row>
    <row r="69" spans="1:13" ht="21.75" customHeight="1" x14ac:dyDescent="0.25">
      <c r="A69" s="143" t="s">
        <v>227</v>
      </c>
      <c r="B69" s="144" t="s">
        <v>209</v>
      </c>
      <c r="C69" s="145" t="s">
        <v>323</v>
      </c>
      <c r="D69" s="145" t="s">
        <v>324</v>
      </c>
      <c r="E69" s="291">
        <v>2</v>
      </c>
      <c r="F69" s="158" t="s">
        <v>325</v>
      </c>
      <c r="G69" s="233">
        <v>900</v>
      </c>
      <c r="H69" s="279">
        <v>617</v>
      </c>
      <c r="I69" s="273">
        <f t="shared" si="2"/>
        <v>283</v>
      </c>
      <c r="J69" s="120">
        <f t="shared" si="3"/>
        <v>0.68555555555555558</v>
      </c>
    </row>
    <row r="70" spans="1:13" x14ac:dyDescent="0.25">
      <c r="A70" s="143" t="s">
        <v>227</v>
      </c>
      <c r="B70" s="144" t="s">
        <v>209</v>
      </c>
      <c r="C70" s="145" t="s">
        <v>326</v>
      </c>
      <c r="D70" s="145" t="s">
        <v>324</v>
      </c>
      <c r="E70" s="291">
        <v>2</v>
      </c>
      <c r="F70" s="146" t="s">
        <v>327</v>
      </c>
      <c r="G70" s="233">
        <v>2100</v>
      </c>
      <c r="H70" s="279">
        <v>1995.5</v>
      </c>
      <c r="I70" s="273">
        <f t="shared" si="2"/>
        <v>104.5</v>
      </c>
      <c r="J70" s="120">
        <f t="shared" si="3"/>
        <v>0.95023809523809522</v>
      </c>
    </row>
    <row r="71" spans="1:13" x14ac:dyDescent="0.25">
      <c r="A71" s="143" t="s">
        <v>227</v>
      </c>
      <c r="B71" s="144" t="s">
        <v>209</v>
      </c>
      <c r="C71" s="145" t="s">
        <v>328</v>
      </c>
      <c r="D71" s="145" t="s">
        <v>324</v>
      </c>
      <c r="E71" s="291">
        <v>2</v>
      </c>
      <c r="F71" s="146" t="s">
        <v>329</v>
      </c>
      <c r="G71" s="233">
        <v>4200</v>
      </c>
      <c r="H71" s="279">
        <v>3525.5</v>
      </c>
      <c r="I71" s="273">
        <f t="shared" si="2"/>
        <v>674.5</v>
      </c>
      <c r="J71" s="120">
        <f t="shared" si="3"/>
        <v>0.83940476190476188</v>
      </c>
    </row>
    <row r="72" spans="1:13" x14ac:dyDescent="0.25">
      <c r="A72" s="143" t="s">
        <v>227</v>
      </c>
      <c r="B72" s="144" t="s">
        <v>209</v>
      </c>
      <c r="C72" s="145" t="s">
        <v>330</v>
      </c>
      <c r="D72" s="145" t="s">
        <v>324</v>
      </c>
      <c r="E72" s="291">
        <v>2</v>
      </c>
      <c r="F72" s="146" t="s">
        <v>331</v>
      </c>
      <c r="G72" s="234">
        <v>19</v>
      </c>
      <c r="H72" s="279">
        <v>0</v>
      </c>
      <c r="I72" s="273">
        <f t="shared" si="2"/>
        <v>19</v>
      </c>
      <c r="J72" s="120">
        <f t="shared" si="3"/>
        <v>0</v>
      </c>
    </row>
    <row r="73" spans="1:13" x14ac:dyDescent="0.25">
      <c r="A73" s="143" t="s">
        <v>227</v>
      </c>
      <c r="B73" s="144" t="s">
        <v>209</v>
      </c>
      <c r="C73" s="145" t="s">
        <v>332</v>
      </c>
      <c r="D73" s="145" t="s">
        <v>324</v>
      </c>
      <c r="E73" s="291">
        <v>2</v>
      </c>
      <c r="F73" s="146" t="s">
        <v>333</v>
      </c>
      <c r="G73" s="233">
        <v>1440</v>
      </c>
      <c r="H73" s="279">
        <v>1550</v>
      </c>
      <c r="I73" s="273">
        <f t="shared" si="2"/>
        <v>-110</v>
      </c>
      <c r="J73" s="120">
        <f t="shared" si="3"/>
        <v>1.0763888888888888</v>
      </c>
    </row>
    <row r="74" spans="1:13" x14ac:dyDescent="0.25">
      <c r="A74" s="143" t="s">
        <v>227</v>
      </c>
      <c r="B74" s="144" t="s">
        <v>209</v>
      </c>
      <c r="C74" s="145" t="s">
        <v>334</v>
      </c>
      <c r="D74" s="145" t="s">
        <v>229</v>
      </c>
      <c r="E74" s="291">
        <v>3</v>
      </c>
      <c r="F74" s="146" t="s">
        <v>230</v>
      </c>
      <c r="G74" s="233">
        <v>1250</v>
      </c>
      <c r="H74" s="279">
        <v>1300</v>
      </c>
      <c r="I74" s="273">
        <f t="shared" si="2"/>
        <v>-50</v>
      </c>
      <c r="J74" s="120">
        <f t="shared" si="3"/>
        <v>1.04</v>
      </c>
    </row>
    <row r="75" spans="1:13" x14ac:dyDescent="0.25">
      <c r="A75" s="143" t="s">
        <v>227</v>
      </c>
      <c r="B75" s="144" t="s">
        <v>209</v>
      </c>
      <c r="C75" s="145" t="s">
        <v>335</v>
      </c>
      <c r="D75" s="145" t="s">
        <v>232</v>
      </c>
      <c r="E75" s="291">
        <v>5</v>
      </c>
      <c r="F75" s="146" t="s">
        <v>233</v>
      </c>
      <c r="G75" s="233">
        <v>350</v>
      </c>
      <c r="H75" s="279">
        <v>810</v>
      </c>
      <c r="I75" s="273">
        <f t="shared" si="2"/>
        <v>-460</v>
      </c>
      <c r="J75" s="120">
        <f t="shared" si="3"/>
        <v>2.3142857142857145</v>
      </c>
    </row>
    <row r="76" spans="1:13" x14ac:dyDescent="0.25">
      <c r="A76" s="143" t="s">
        <v>234</v>
      </c>
      <c r="B76" s="144" t="s">
        <v>209</v>
      </c>
      <c r="C76" s="145" t="s">
        <v>336</v>
      </c>
      <c r="D76" s="145" t="s">
        <v>236</v>
      </c>
      <c r="E76" s="291">
        <v>3</v>
      </c>
      <c r="F76" s="147" t="s">
        <v>237</v>
      </c>
      <c r="G76" s="234">
        <v>0</v>
      </c>
      <c r="H76" s="279">
        <v>0</v>
      </c>
      <c r="I76" s="273">
        <f t="shared" si="2"/>
        <v>0</v>
      </c>
      <c r="J76" s="120" t="e">
        <f t="shared" si="3"/>
        <v>#DIV/0!</v>
      </c>
    </row>
    <row r="77" spans="1:13" x14ac:dyDescent="0.25">
      <c r="A77" s="143" t="s">
        <v>234</v>
      </c>
      <c r="B77" s="144" t="s">
        <v>209</v>
      </c>
      <c r="C77" s="145" t="s">
        <v>337</v>
      </c>
      <c r="D77" s="145" t="s">
        <v>239</v>
      </c>
      <c r="E77" s="291">
        <v>5</v>
      </c>
      <c r="F77" s="147" t="s">
        <v>240</v>
      </c>
      <c r="G77" s="240">
        <v>60</v>
      </c>
      <c r="H77" s="279">
        <v>0</v>
      </c>
      <c r="I77" s="273">
        <f t="shared" si="2"/>
        <v>60</v>
      </c>
      <c r="J77" s="120">
        <f t="shared" si="3"/>
        <v>0</v>
      </c>
    </row>
    <row r="78" spans="1:13" x14ac:dyDescent="0.25">
      <c r="A78" s="141" t="s">
        <v>338</v>
      </c>
      <c r="B78" s="142" t="s">
        <v>339</v>
      </c>
      <c r="C78" s="142"/>
      <c r="D78" s="142"/>
      <c r="E78" s="142"/>
      <c r="F78" s="142"/>
      <c r="G78" s="232">
        <f>SUM(G79:G87)</f>
        <v>10302.5</v>
      </c>
      <c r="H78" s="266">
        <f>SUM(H79:H87)</f>
        <v>8992.5</v>
      </c>
      <c r="I78" s="273">
        <f t="shared" si="2"/>
        <v>1310</v>
      </c>
      <c r="J78" s="120">
        <f t="shared" si="3"/>
        <v>0.8728463965057025</v>
      </c>
      <c r="L78" s="281">
        <f>G78/G67</f>
        <v>0.15972001519297402</v>
      </c>
      <c r="M78" s="282">
        <f>H78/H67</f>
        <v>0.17321082892721967</v>
      </c>
    </row>
    <row r="79" spans="1:13" x14ac:dyDescent="0.25">
      <c r="A79" s="143" t="s">
        <v>227</v>
      </c>
      <c r="B79" s="144" t="s">
        <v>209</v>
      </c>
      <c r="C79" s="145" t="s">
        <v>340</v>
      </c>
      <c r="D79" s="145" t="s">
        <v>324</v>
      </c>
      <c r="E79" s="291">
        <v>2</v>
      </c>
      <c r="F79" s="146" t="s">
        <v>341</v>
      </c>
      <c r="G79" s="233">
        <v>1200</v>
      </c>
      <c r="H79" s="279">
        <v>1200</v>
      </c>
      <c r="I79" s="273">
        <f t="shared" si="2"/>
        <v>0</v>
      </c>
      <c r="J79" s="120">
        <f t="shared" si="3"/>
        <v>1</v>
      </c>
    </row>
    <row r="80" spans="1:13" x14ac:dyDescent="0.25">
      <c r="A80" s="143" t="s">
        <v>227</v>
      </c>
      <c r="B80" s="144" t="s">
        <v>209</v>
      </c>
      <c r="C80" s="145" t="s">
        <v>342</v>
      </c>
      <c r="D80" s="145" t="s">
        <v>324</v>
      </c>
      <c r="E80" s="291">
        <v>2</v>
      </c>
      <c r="F80" s="146" t="s">
        <v>343</v>
      </c>
      <c r="G80" s="234">
        <v>487.5</v>
      </c>
      <c r="H80" s="279">
        <v>487.5</v>
      </c>
      <c r="I80" s="273">
        <f t="shared" si="2"/>
        <v>0</v>
      </c>
      <c r="J80" s="120">
        <f t="shared" si="3"/>
        <v>1</v>
      </c>
    </row>
    <row r="81" spans="1:13" x14ac:dyDescent="0.25">
      <c r="A81" s="143" t="s">
        <v>227</v>
      </c>
      <c r="B81" s="144" t="s">
        <v>209</v>
      </c>
      <c r="C81" s="145" t="s">
        <v>344</v>
      </c>
      <c r="D81" s="145" t="s">
        <v>324</v>
      </c>
      <c r="E81" s="291">
        <v>2</v>
      </c>
      <c r="F81" s="146" t="s">
        <v>329</v>
      </c>
      <c r="G81" s="234">
        <v>2775</v>
      </c>
      <c r="H81" s="279">
        <v>2775</v>
      </c>
      <c r="I81" s="273">
        <f t="shared" si="2"/>
        <v>0</v>
      </c>
      <c r="J81" s="120">
        <f t="shared" si="3"/>
        <v>1</v>
      </c>
    </row>
    <row r="82" spans="1:13" x14ac:dyDescent="0.25">
      <c r="A82" s="143" t="s">
        <v>227</v>
      </c>
      <c r="B82" s="144" t="s">
        <v>209</v>
      </c>
      <c r="C82" s="145" t="s">
        <v>345</v>
      </c>
      <c r="D82" s="145" t="s">
        <v>324</v>
      </c>
      <c r="E82" s="291">
        <v>2</v>
      </c>
      <c r="F82" s="146" t="s">
        <v>346</v>
      </c>
      <c r="G82" s="234">
        <v>1000</v>
      </c>
      <c r="H82" s="279">
        <v>1000</v>
      </c>
      <c r="I82" s="273">
        <f t="shared" si="2"/>
        <v>0</v>
      </c>
      <c r="J82" s="120">
        <f t="shared" si="3"/>
        <v>1</v>
      </c>
    </row>
    <row r="83" spans="1:13" x14ac:dyDescent="0.25">
      <c r="A83" s="143" t="s">
        <v>227</v>
      </c>
      <c r="B83" s="144" t="s">
        <v>209</v>
      </c>
      <c r="C83" s="145" t="s">
        <v>347</v>
      </c>
      <c r="D83" s="145" t="s">
        <v>324</v>
      </c>
      <c r="E83" s="291">
        <v>2</v>
      </c>
      <c r="F83" s="146" t="s">
        <v>348</v>
      </c>
      <c r="G83" s="234">
        <v>2990</v>
      </c>
      <c r="H83" s="279">
        <v>2990</v>
      </c>
      <c r="I83" s="273">
        <f t="shared" si="2"/>
        <v>0</v>
      </c>
      <c r="J83" s="120">
        <f t="shared" si="3"/>
        <v>1</v>
      </c>
    </row>
    <row r="84" spans="1:13" x14ac:dyDescent="0.25">
      <c r="A84" s="143" t="s">
        <v>227</v>
      </c>
      <c r="B84" s="144" t="s">
        <v>209</v>
      </c>
      <c r="C84" s="145" t="s">
        <v>349</v>
      </c>
      <c r="D84" s="145" t="s">
        <v>229</v>
      </c>
      <c r="E84" s="291">
        <v>3</v>
      </c>
      <c r="F84" s="146" t="s">
        <v>230</v>
      </c>
      <c r="G84" s="234">
        <v>0</v>
      </c>
      <c r="H84" s="279">
        <v>0</v>
      </c>
      <c r="I84" s="273">
        <f t="shared" si="2"/>
        <v>0</v>
      </c>
      <c r="J84" s="120" t="e">
        <f t="shared" si="3"/>
        <v>#DIV/0!</v>
      </c>
    </row>
    <row r="85" spans="1:13" x14ac:dyDescent="0.25">
      <c r="A85" s="143" t="s">
        <v>227</v>
      </c>
      <c r="B85" s="144" t="s">
        <v>209</v>
      </c>
      <c r="C85" s="145" t="s">
        <v>350</v>
      </c>
      <c r="D85" s="145" t="s">
        <v>232</v>
      </c>
      <c r="E85" s="291">
        <v>5</v>
      </c>
      <c r="F85" s="146" t="s">
        <v>233</v>
      </c>
      <c r="G85" s="234">
        <v>170</v>
      </c>
      <c r="H85" s="279">
        <v>340</v>
      </c>
      <c r="I85" s="273">
        <f t="shared" si="2"/>
        <v>-170</v>
      </c>
      <c r="J85" s="120">
        <f t="shared" si="3"/>
        <v>2</v>
      </c>
    </row>
    <row r="86" spans="1:13" x14ac:dyDescent="0.25">
      <c r="A86" s="143" t="s">
        <v>234</v>
      </c>
      <c r="B86" s="144" t="s">
        <v>209</v>
      </c>
      <c r="C86" s="145" t="s">
        <v>351</v>
      </c>
      <c r="D86" s="145" t="s">
        <v>236</v>
      </c>
      <c r="E86" s="291">
        <v>3</v>
      </c>
      <c r="F86" s="147" t="s">
        <v>237</v>
      </c>
      <c r="G86" s="233">
        <v>1400</v>
      </c>
      <c r="H86" s="279">
        <v>0</v>
      </c>
      <c r="I86" s="273">
        <f t="shared" si="2"/>
        <v>1400</v>
      </c>
      <c r="J86" s="120">
        <f t="shared" si="3"/>
        <v>0</v>
      </c>
    </row>
    <row r="87" spans="1:13" x14ac:dyDescent="0.25">
      <c r="A87" s="143" t="s">
        <v>234</v>
      </c>
      <c r="B87" s="144" t="s">
        <v>209</v>
      </c>
      <c r="C87" s="145" t="s">
        <v>352</v>
      </c>
      <c r="D87" s="145" t="s">
        <v>239</v>
      </c>
      <c r="E87" s="291">
        <v>5</v>
      </c>
      <c r="F87" s="147" t="s">
        <v>240</v>
      </c>
      <c r="G87" s="233">
        <v>280</v>
      </c>
      <c r="H87" s="279">
        <v>200</v>
      </c>
      <c r="I87" s="273">
        <f t="shared" si="2"/>
        <v>80</v>
      </c>
      <c r="J87" s="120">
        <f t="shared" si="3"/>
        <v>0.7142857142857143</v>
      </c>
    </row>
    <row r="88" spans="1:13" x14ac:dyDescent="0.25">
      <c r="A88" s="141" t="s">
        <v>353</v>
      </c>
      <c r="B88" s="142" t="s">
        <v>354</v>
      </c>
      <c r="C88" s="142"/>
      <c r="D88" s="142"/>
      <c r="E88" s="142"/>
      <c r="F88" s="142"/>
      <c r="G88" s="232">
        <f>SUM(G89:G104)</f>
        <v>43882</v>
      </c>
      <c r="H88" s="266">
        <f>SUM(H89:H104)</f>
        <v>33126</v>
      </c>
      <c r="I88" s="273">
        <f t="shared" si="2"/>
        <v>10756</v>
      </c>
      <c r="J88" s="120">
        <f t="shared" si="3"/>
        <v>0.75488810901964354</v>
      </c>
      <c r="L88" s="281">
        <f>G88/G67</f>
        <v>0.68030416954118766</v>
      </c>
      <c r="M88" s="282">
        <f>H88/H67</f>
        <v>0.6380630435410708</v>
      </c>
    </row>
    <row r="89" spans="1:13" x14ac:dyDescent="0.25">
      <c r="A89" s="143" t="s">
        <v>227</v>
      </c>
      <c r="B89" s="144" t="s">
        <v>209</v>
      </c>
      <c r="C89" s="145" t="s">
        <v>355</v>
      </c>
      <c r="D89" s="145" t="s">
        <v>356</v>
      </c>
      <c r="E89" s="289">
        <v>7</v>
      </c>
      <c r="F89" s="146" t="s">
        <v>357</v>
      </c>
      <c r="G89" s="233">
        <v>3780</v>
      </c>
      <c r="H89" s="279">
        <v>301</v>
      </c>
      <c r="I89" s="273">
        <f t="shared" si="2"/>
        <v>3479</v>
      </c>
      <c r="J89" s="120">
        <f t="shared" si="3"/>
        <v>7.9629629629629634E-2</v>
      </c>
    </row>
    <row r="90" spans="1:13" x14ac:dyDescent="0.25">
      <c r="A90" s="143" t="s">
        <v>227</v>
      </c>
      <c r="B90" s="144" t="s">
        <v>209</v>
      </c>
      <c r="C90" s="145" t="s">
        <v>358</v>
      </c>
      <c r="D90" s="145" t="s">
        <v>324</v>
      </c>
      <c r="E90" s="291">
        <v>2</v>
      </c>
      <c r="F90" s="146" t="s">
        <v>359</v>
      </c>
      <c r="G90" s="233">
        <v>306</v>
      </c>
      <c r="H90" s="279">
        <v>0</v>
      </c>
      <c r="I90" s="273">
        <f t="shared" si="2"/>
        <v>306</v>
      </c>
      <c r="J90" s="120">
        <f t="shared" si="3"/>
        <v>0</v>
      </c>
    </row>
    <row r="91" spans="1:13" x14ac:dyDescent="0.25">
      <c r="A91" s="143" t="s">
        <v>227</v>
      </c>
      <c r="B91" s="144" t="s">
        <v>209</v>
      </c>
      <c r="C91" s="145" t="s">
        <v>360</v>
      </c>
      <c r="D91" s="145" t="s">
        <v>356</v>
      </c>
      <c r="E91" s="289">
        <v>7</v>
      </c>
      <c r="F91" s="146" t="s">
        <v>361</v>
      </c>
      <c r="G91" s="233">
        <v>3780</v>
      </c>
      <c r="H91" s="279">
        <v>2400</v>
      </c>
      <c r="I91" s="273">
        <f t="shared" si="2"/>
        <v>1380</v>
      </c>
      <c r="J91" s="120">
        <f t="shared" si="3"/>
        <v>0.63492063492063489</v>
      </c>
    </row>
    <row r="92" spans="1:13" x14ac:dyDescent="0.25">
      <c r="A92" s="143" t="s">
        <v>227</v>
      </c>
      <c r="B92" s="144" t="s">
        <v>209</v>
      </c>
      <c r="C92" s="145" t="s">
        <v>362</v>
      </c>
      <c r="D92" s="145" t="s">
        <v>324</v>
      </c>
      <c r="E92" s="291">
        <v>2</v>
      </c>
      <c r="F92" s="146" t="s">
        <v>359</v>
      </c>
      <c r="G92" s="233">
        <v>306</v>
      </c>
      <c r="H92" s="279">
        <v>0</v>
      </c>
      <c r="I92" s="273">
        <f t="shared" si="2"/>
        <v>306</v>
      </c>
      <c r="J92" s="120">
        <f t="shared" si="3"/>
        <v>0</v>
      </c>
    </row>
    <row r="93" spans="1:13" x14ac:dyDescent="0.25">
      <c r="A93" s="143" t="s">
        <v>227</v>
      </c>
      <c r="B93" s="144" t="s">
        <v>209</v>
      </c>
      <c r="C93" s="145" t="s">
        <v>363</v>
      </c>
      <c r="D93" s="145" t="s">
        <v>356</v>
      </c>
      <c r="E93" s="289">
        <v>7</v>
      </c>
      <c r="F93" s="146" t="s">
        <v>364</v>
      </c>
      <c r="G93" s="233">
        <v>4800</v>
      </c>
      <c r="H93" s="279">
        <v>5000</v>
      </c>
      <c r="I93" s="273">
        <f t="shared" si="2"/>
        <v>-200</v>
      </c>
      <c r="J93" s="120">
        <f t="shared" si="3"/>
        <v>1.0416666666666667</v>
      </c>
    </row>
    <row r="94" spans="1:13" x14ac:dyDescent="0.25">
      <c r="A94" s="143" t="s">
        <v>227</v>
      </c>
      <c r="B94" s="144" t="s">
        <v>209</v>
      </c>
      <c r="C94" s="145" t="s">
        <v>365</v>
      </c>
      <c r="D94" s="145" t="s">
        <v>356</v>
      </c>
      <c r="E94" s="289">
        <v>7</v>
      </c>
      <c r="F94" s="146" t="s">
        <v>366</v>
      </c>
      <c r="G94" s="233">
        <v>4800</v>
      </c>
      <c r="H94" s="279">
        <v>2160</v>
      </c>
      <c r="I94" s="273">
        <f t="shared" si="2"/>
        <v>2640</v>
      </c>
      <c r="J94" s="120">
        <f t="shared" si="3"/>
        <v>0.45</v>
      </c>
    </row>
    <row r="95" spans="1:13" x14ac:dyDescent="0.25">
      <c r="A95" s="143" t="s">
        <v>227</v>
      </c>
      <c r="B95" s="144" t="s">
        <v>209</v>
      </c>
      <c r="C95" s="145" t="s">
        <v>367</v>
      </c>
      <c r="D95" s="145" t="s">
        <v>356</v>
      </c>
      <c r="E95" s="289">
        <v>7</v>
      </c>
      <c r="F95" s="146" t="s">
        <v>368</v>
      </c>
      <c r="G95" s="233">
        <v>1260</v>
      </c>
      <c r="H95" s="279">
        <v>1115</v>
      </c>
      <c r="I95" s="273">
        <f t="shared" si="2"/>
        <v>145</v>
      </c>
      <c r="J95" s="120">
        <f t="shared" si="3"/>
        <v>0.88492063492063489</v>
      </c>
    </row>
    <row r="96" spans="1:13" x14ac:dyDescent="0.25">
      <c r="A96" s="143" t="s">
        <v>227</v>
      </c>
      <c r="B96" s="144" t="s">
        <v>209</v>
      </c>
      <c r="C96" s="145" t="s">
        <v>369</v>
      </c>
      <c r="D96" s="145" t="s">
        <v>356</v>
      </c>
      <c r="E96" s="289">
        <v>7</v>
      </c>
      <c r="F96" s="146" t="s">
        <v>370</v>
      </c>
      <c r="G96" s="233">
        <v>1260</v>
      </c>
      <c r="H96" s="279">
        <v>1119</v>
      </c>
      <c r="I96" s="273">
        <f t="shared" si="2"/>
        <v>141</v>
      </c>
      <c r="J96" s="120">
        <f t="shared" si="3"/>
        <v>0.88809523809523805</v>
      </c>
    </row>
    <row r="97" spans="1:13" x14ac:dyDescent="0.25">
      <c r="A97" s="143" t="s">
        <v>227</v>
      </c>
      <c r="B97" s="144" t="s">
        <v>209</v>
      </c>
      <c r="C97" s="145" t="s">
        <v>371</v>
      </c>
      <c r="D97" s="145" t="s">
        <v>356</v>
      </c>
      <c r="E97" s="289">
        <v>7</v>
      </c>
      <c r="F97" s="159" t="s">
        <v>372</v>
      </c>
      <c r="G97" s="233">
        <v>7200</v>
      </c>
      <c r="H97" s="279">
        <v>6315</v>
      </c>
      <c r="I97" s="273">
        <f t="shared" si="2"/>
        <v>885</v>
      </c>
      <c r="J97" s="120">
        <f t="shared" si="3"/>
        <v>0.87708333333333333</v>
      </c>
    </row>
    <row r="98" spans="1:13" x14ac:dyDescent="0.25">
      <c r="A98" s="143" t="s">
        <v>227</v>
      </c>
      <c r="B98" s="144" t="s">
        <v>209</v>
      </c>
      <c r="C98" s="145" t="s">
        <v>373</v>
      </c>
      <c r="D98" s="145" t="s">
        <v>356</v>
      </c>
      <c r="E98" s="289">
        <v>7</v>
      </c>
      <c r="F98" s="159" t="s">
        <v>374</v>
      </c>
      <c r="G98" s="233">
        <v>4500</v>
      </c>
      <c r="H98" s="279">
        <v>4500</v>
      </c>
      <c r="I98" s="273">
        <f t="shared" si="2"/>
        <v>0</v>
      </c>
      <c r="J98" s="120">
        <f t="shared" si="3"/>
        <v>1</v>
      </c>
    </row>
    <row r="99" spans="1:13" x14ac:dyDescent="0.25">
      <c r="A99" s="143" t="s">
        <v>227</v>
      </c>
      <c r="B99" s="144" t="s">
        <v>209</v>
      </c>
      <c r="C99" s="145" t="s">
        <v>375</v>
      </c>
      <c r="D99" s="145" t="s">
        <v>356</v>
      </c>
      <c r="E99" s="289">
        <v>7</v>
      </c>
      <c r="F99" s="159" t="s">
        <v>376</v>
      </c>
      <c r="G99" s="233">
        <v>8000</v>
      </c>
      <c r="H99" s="279">
        <v>8161</v>
      </c>
      <c r="I99" s="273">
        <f t="shared" si="2"/>
        <v>-161</v>
      </c>
      <c r="J99" s="120">
        <f t="shared" si="3"/>
        <v>1.0201249999999999</v>
      </c>
    </row>
    <row r="100" spans="1:13" x14ac:dyDescent="0.25">
      <c r="A100" s="143" t="s">
        <v>227</v>
      </c>
      <c r="B100" s="144" t="s">
        <v>209</v>
      </c>
      <c r="C100" s="145" t="s">
        <v>377</v>
      </c>
      <c r="D100" s="145" t="s">
        <v>356</v>
      </c>
      <c r="E100" s="289">
        <v>7</v>
      </c>
      <c r="F100" s="159" t="s">
        <v>378</v>
      </c>
      <c r="G100" s="233">
        <v>1250</v>
      </c>
      <c r="H100" s="279">
        <v>1250</v>
      </c>
      <c r="I100" s="273">
        <f t="shared" si="2"/>
        <v>0</v>
      </c>
      <c r="J100" s="120">
        <f t="shared" si="3"/>
        <v>1</v>
      </c>
    </row>
    <row r="101" spans="1:13" x14ac:dyDescent="0.25">
      <c r="A101" s="143" t="s">
        <v>227</v>
      </c>
      <c r="B101" s="144" t="s">
        <v>209</v>
      </c>
      <c r="C101" s="145" t="s">
        <v>379</v>
      </c>
      <c r="D101" s="145" t="s">
        <v>229</v>
      </c>
      <c r="E101" s="291">
        <v>3</v>
      </c>
      <c r="F101" s="146" t="s">
        <v>230</v>
      </c>
      <c r="G101" s="233">
        <v>750</v>
      </c>
      <c r="H101" s="279">
        <v>0</v>
      </c>
      <c r="I101" s="273">
        <f t="shared" si="2"/>
        <v>750</v>
      </c>
      <c r="J101" s="120">
        <f t="shared" si="3"/>
        <v>0</v>
      </c>
    </row>
    <row r="102" spans="1:13" x14ac:dyDescent="0.25">
      <c r="A102" s="143" t="s">
        <v>227</v>
      </c>
      <c r="B102" s="144" t="s">
        <v>209</v>
      </c>
      <c r="C102" s="145" t="s">
        <v>380</v>
      </c>
      <c r="D102" s="145" t="s">
        <v>232</v>
      </c>
      <c r="E102" s="291">
        <v>5</v>
      </c>
      <c r="F102" s="146" t="s">
        <v>233</v>
      </c>
      <c r="G102" s="233">
        <v>210</v>
      </c>
      <c r="H102" s="279">
        <v>0</v>
      </c>
      <c r="I102" s="273">
        <f t="shared" si="2"/>
        <v>210</v>
      </c>
      <c r="J102" s="120">
        <f t="shared" si="3"/>
        <v>0</v>
      </c>
    </row>
    <row r="103" spans="1:13" x14ac:dyDescent="0.25">
      <c r="A103" s="143" t="s">
        <v>234</v>
      </c>
      <c r="B103" s="144" t="s">
        <v>209</v>
      </c>
      <c r="C103" s="145" t="s">
        <v>381</v>
      </c>
      <c r="D103" s="145" t="s">
        <v>236</v>
      </c>
      <c r="E103" s="291">
        <v>3</v>
      </c>
      <c r="F103" s="147" t="s">
        <v>237</v>
      </c>
      <c r="G103" s="233">
        <v>1400</v>
      </c>
      <c r="H103" s="279">
        <v>805</v>
      </c>
      <c r="I103" s="273">
        <f t="shared" si="2"/>
        <v>595</v>
      </c>
      <c r="J103" s="120">
        <f t="shared" si="3"/>
        <v>0.57499999999999996</v>
      </c>
    </row>
    <row r="104" spans="1:13" x14ac:dyDescent="0.25">
      <c r="A104" s="143" t="s">
        <v>234</v>
      </c>
      <c r="B104" s="144" t="s">
        <v>209</v>
      </c>
      <c r="C104" s="145" t="s">
        <v>382</v>
      </c>
      <c r="D104" s="145" t="s">
        <v>239</v>
      </c>
      <c r="E104" s="291">
        <v>5</v>
      </c>
      <c r="F104" s="147" t="s">
        <v>240</v>
      </c>
      <c r="G104" s="233">
        <v>280</v>
      </c>
      <c r="H104" s="279">
        <v>0</v>
      </c>
      <c r="I104" s="273">
        <f t="shared" si="2"/>
        <v>280</v>
      </c>
      <c r="J104" s="120">
        <f t="shared" si="3"/>
        <v>0</v>
      </c>
    </row>
    <row r="105" spans="1:13" x14ac:dyDescent="0.25">
      <c r="A105" s="157" t="s">
        <v>383</v>
      </c>
      <c r="B105" s="140" t="s">
        <v>384</v>
      </c>
      <c r="C105" s="140"/>
      <c r="D105" s="140"/>
      <c r="E105" s="140"/>
      <c r="F105" s="140"/>
      <c r="G105" s="231">
        <f>G106+G112</f>
        <v>23310</v>
      </c>
      <c r="H105" s="231">
        <f>H106+H112</f>
        <v>3773.84</v>
      </c>
      <c r="I105" s="273">
        <f t="shared" si="2"/>
        <v>19536.16</v>
      </c>
      <c r="J105" s="120">
        <f t="shared" si="3"/>
        <v>0.16189789789789791</v>
      </c>
      <c r="L105" s="283">
        <f>G105/G288</f>
        <v>1.8648000119347443E-2</v>
      </c>
      <c r="M105" s="284">
        <f>H105/H288</f>
        <v>3.2641470513434987E-3</v>
      </c>
    </row>
    <row r="106" spans="1:13" x14ac:dyDescent="0.25">
      <c r="A106" s="141" t="s">
        <v>385</v>
      </c>
      <c r="B106" s="142" t="s">
        <v>386</v>
      </c>
      <c r="C106" s="142"/>
      <c r="D106" s="142"/>
      <c r="E106" s="142"/>
      <c r="F106" s="142"/>
      <c r="G106" s="232">
        <f>SUM(G107:G111)</f>
        <v>6560</v>
      </c>
      <c r="H106" s="266">
        <f>SUM(H107:H111)</f>
        <v>3493.84</v>
      </c>
      <c r="I106" s="273">
        <f t="shared" si="2"/>
        <v>3066.16</v>
      </c>
      <c r="J106" s="120">
        <f t="shared" si="3"/>
        <v>0.53259756097560973</v>
      </c>
      <c r="L106" s="281">
        <f>G106/G105</f>
        <v>0.28142428142428144</v>
      </c>
      <c r="M106" s="282">
        <f>H106/H105</f>
        <v>0.92580501558094674</v>
      </c>
    </row>
    <row r="107" spans="1:13" x14ac:dyDescent="0.25">
      <c r="A107" s="143" t="s">
        <v>234</v>
      </c>
      <c r="B107" s="144" t="s">
        <v>209</v>
      </c>
      <c r="C107" s="145" t="s">
        <v>387</v>
      </c>
      <c r="D107" s="145" t="s">
        <v>259</v>
      </c>
      <c r="E107" s="289">
        <v>7</v>
      </c>
      <c r="F107" s="147" t="s">
        <v>388</v>
      </c>
      <c r="G107" s="234">
        <v>2900</v>
      </c>
      <c r="H107" s="279">
        <v>1205</v>
      </c>
      <c r="I107" s="273">
        <f t="shared" si="2"/>
        <v>1695</v>
      </c>
      <c r="J107" s="120">
        <f t="shared" si="3"/>
        <v>0.41551724137931034</v>
      </c>
    </row>
    <row r="108" spans="1:13" x14ac:dyDescent="0.25">
      <c r="A108" s="143" t="s">
        <v>234</v>
      </c>
      <c r="B108" s="144" t="s">
        <v>209</v>
      </c>
      <c r="C108" s="145" t="s">
        <v>389</v>
      </c>
      <c r="D108" s="145" t="s">
        <v>268</v>
      </c>
      <c r="E108" s="289">
        <v>2</v>
      </c>
      <c r="F108" s="147" t="s">
        <v>390</v>
      </c>
      <c r="G108" s="234">
        <v>100</v>
      </c>
      <c r="H108" s="279">
        <v>9.4</v>
      </c>
      <c r="I108" s="273">
        <f t="shared" si="2"/>
        <v>90.6</v>
      </c>
      <c r="J108" s="120">
        <f t="shared" si="3"/>
        <v>9.4E-2</v>
      </c>
    </row>
    <row r="109" spans="1:13" x14ac:dyDescent="0.25">
      <c r="A109" s="143" t="s">
        <v>234</v>
      </c>
      <c r="B109" s="144" t="s">
        <v>209</v>
      </c>
      <c r="C109" s="145" t="s">
        <v>391</v>
      </c>
      <c r="D109" s="145" t="s">
        <v>268</v>
      </c>
      <c r="E109" s="289">
        <v>2</v>
      </c>
      <c r="F109" s="147" t="s">
        <v>392</v>
      </c>
      <c r="G109" s="233">
        <v>1680</v>
      </c>
      <c r="H109" s="279">
        <v>2239.44</v>
      </c>
      <c r="I109" s="273">
        <f t="shared" si="2"/>
        <v>-559.44000000000005</v>
      </c>
      <c r="J109" s="120">
        <f t="shared" si="3"/>
        <v>1.333</v>
      </c>
    </row>
    <row r="110" spans="1:13" x14ac:dyDescent="0.25">
      <c r="A110" s="143" t="s">
        <v>234</v>
      </c>
      <c r="B110" s="144" t="s">
        <v>209</v>
      </c>
      <c r="C110" s="145" t="s">
        <v>393</v>
      </c>
      <c r="D110" s="145" t="s">
        <v>236</v>
      </c>
      <c r="E110" s="291">
        <v>3</v>
      </c>
      <c r="F110" s="147" t="s">
        <v>237</v>
      </c>
      <c r="G110" s="233">
        <v>1400</v>
      </c>
      <c r="H110" s="279">
        <v>40</v>
      </c>
      <c r="I110" s="273">
        <f t="shared" si="2"/>
        <v>1360</v>
      </c>
      <c r="J110" s="120">
        <f t="shared" si="3"/>
        <v>2.8571428571428571E-2</v>
      </c>
    </row>
    <row r="111" spans="1:13" x14ac:dyDescent="0.25">
      <c r="A111" s="143" t="s">
        <v>234</v>
      </c>
      <c r="B111" s="144" t="s">
        <v>209</v>
      </c>
      <c r="C111" s="145" t="s">
        <v>394</v>
      </c>
      <c r="D111" s="145" t="s">
        <v>239</v>
      </c>
      <c r="E111" s="291">
        <v>5</v>
      </c>
      <c r="F111" s="147" t="s">
        <v>240</v>
      </c>
      <c r="G111" s="234">
        <v>480</v>
      </c>
      <c r="H111" s="279">
        <v>0</v>
      </c>
      <c r="I111" s="273">
        <f t="shared" si="2"/>
        <v>480</v>
      </c>
      <c r="J111" s="120">
        <f t="shared" si="3"/>
        <v>0</v>
      </c>
    </row>
    <row r="112" spans="1:13" x14ac:dyDescent="0.25">
      <c r="A112" s="141" t="s">
        <v>395</v>
      </c>
      <c r="B112" s="142" t="s">
        <v>396</v>
      </c>
      <c r="C112" s="142"/>
      <c r="D112" s="142"/>
      <c r="E112" s="142"/>
      <c r="F112" s="142"/>
      <c r="G112" s="232">
        <f>SUM(G113:G116)</f>
        <v>16750</v>
      </c>
      <c r="H112" s="266">
        <f>SUM(H113:H116)</f>
        <v>280</v>
      </c>
      <c r="I112" s="273">
        <f t="shared" si="2"/>
        <v>16470</v>
      </c>
      <c r="J112" s="120">
        <f t="shared" si="3"/>
        <v>1.671641791044776E-2</v>
      </c>
      <c r="L112" s="281">
        <f>G112/G105</f>
        <v>0.71857571857571856</v>
      </c>
      <c r="M112" s="282">
        <f>H112/H105</f>
        <v>7.419498441905327E-2</v>
      </c>
    </row>
    <row r="113" spans="1:13" x14ac:dyDescent="0.25">
      <c r="A113" s="143" t="s">
        <v>234</v>
      </c>
      <c r="B113" s="144" t="s">
        <v>209</v>
      </c>
      <c r="C113" s="160" t="s">
        <v>397</v>
      </c>
      <c r="D113" s="145" t="s">
        <v>259</v>
      </c>
      <c r="E113" s="289">
        <v>7</v>
      </c>
      <c r="F113" s="147" t="s">
        <v>398</v>
      </c>
      <c r="G113" s="234">
        <v>5540</v>
      </c>
      <c r="H113" s="279">
        <v>0</v>
      </c>
      <c r="I113" s="273">
        <f t="shared" si="2"/>
        <v>5540</v>
      </c>
      <c r="J113" s="120">
        <f t="shared" si="3"/>
        <v>0</v>
      </c>
    </row>
    <row r="114" spans="1:13" x14ac:dyDescent="0.25">
      <c r="A114" s="143" t="s">
        <v>234</v>
      </c>
      <c r="B114" s="144" t="s">
        <v>209</v>
      </c>
      <c r="C114" s="160" t="s">
        <v>399</v>
      </c>
      <c r="D114" s="145" t="s">
        <v>259</v>
      </c>
      <c r="E114" s="289">
        <v>7</v>
      </c>
      <c r="F114" s="147" t="s">
        <v>400</v>
      </c>
      <c r="G114" s="234">
        <v>8680</v>
      </c>
      <c r="H114" s="279">
        <v>0</v>
      </c>
      <c r="I114" s="273">
        <f t="shared" si="2"/>
        <v>8680</v>
      </c>
      <c r="J114" s="120">
        <f t="shared" si="3"/>
        <v>0</v>
      </c>
    </row>
    <row r="115" spans="1:13" x14ac:dyDescent="0.25">
      <c r="A115" s="143" t="s">
        <v>234</v>
      </c>
      <c r="B115" s="144" t="s">
        <v>209</v>
      </c>
      <c r="C115" s="160" t="s">
        <v>401</v>
      </c>
      <c r="D115" s="145" t="s">
        <v>236</v>
      </c>
      <c r="E115" s="291">
        <v>3</v>
      </c>
      <c r="F115" s="147" t="s">
        <v>237</v>
      </c>
      <c r="G115" s="234">
        <v>1850</v>
      </c>
      <c r="H115" s="279">
        <v>0</v>
      </c>
      <c r="I115" s="273">
        <f t="shared" si="2"/>
        <v>1850</v>
      </c>
      <c r="J115" s="120">
        <f t="shared" si="3"/>
        <v>0</v>
      </c>
    </row>
    <row r="116" spans="1:13" x14ac:dyDescent="0.25">
      <c r="A116" s="143" t="s">
        <v>234</v>
      </c>
      <c r="B116" s="144" t="s">
        <v>209</v>
      </c>
      <c r="C116" s="160" t="s">
        <v>402</v>
      </c>
      <c r="D116" s="145" t="s">
        <v>239</v>
      </c>
      <c r="E116" s="291">
        <v>5</v>
      </c>
      <c r="F116" s="147" t="s">
        <v>240</v>
      </c>
      <c r="G116" s="234">
        <v>680</v>
      </c>
      <c r="H116" s="279">
        <v>280</v>
      </c>
      <c r="I116" s="273">
        <f t="shared" si="2"/>
        <v>400</v>
      </c>
      <c r="J116" s="120">
        <f t="shared" si="3"/>
        <v>0.41176470588235292</v>
      </c>
    </row>
    <row r="117" spans="1:13" x14ac:dyDescent="0.25">
      <c r="A117" s="157" t="s">
        <v>403</v>
      </c>
      <c r="B117" s="140" t="s">
        <v>396</v>
      </c>
      <c r="C117" s="140"/>
      <c r="D117" s="140"/>
      <c r="E117" s="140"/>
      <c r="F117" s="140"/>
      <c r="G117" s="242">
        <f>G118+G121+G130</f>
        <v>57520</v>
      </c>
      <c r="H117" s="242">
        <f>H118+H121+H130</f>
        <v>5980.3</v>
      </c>
      <c r="I117" s="273">
        <f t="shared" si="2"/>
        <v>51539.7</v>
      </c>
      <c r="J117" s="120">
        <f t="shared" si="3"/>
        <v>0.10396905424200278</v>
      </c>
      <c r="L117" s="283">
        <f>G117/G288</f>
        <v>4.6016000294503E-2</v>
      </c>
      <c r="M117" s="284">
        <f>H117/H288</f>
        <v>5.1726036639469413E-3</v>
      </c>
    </row>
    <row r="118" spans="1:13" x14ac:dyDescent="0.25">
      <c r="A118" s="141" t="s">
        <v>404</v>
      </c>
      <c r="B118" s="142" t="s">
        <v>405</v>
      </c>
      <c r="C118" s="142"/>
      <c r="D118" s="142"/>
      <c r="E118" s="142"/>
      <c r="F118" s="142"/>
      <c r="G118" s="232">
        <f>SUM(G119:G120)</f>
        <v>2600</v>
      </c>
      <c r="H118" s="266">
        <f>SUM(H119:H120)</f>
        <v>0</v>
      </c>
      <c r="I118" s="273">
        <f t="shared" si="2"/>
        <v>2600</v>
      </c>
      <c r="J118" s="120">
        <f t="shared" si="3"/>
        <v>0</v>
      </c>
      <c r="L118" s="281">
        <f>G118/G117</f>
        <v>4.5201668984700974E-2</v>
      </c>
      <c r="M118" s="282">
        <f>H118/H117</f>
        <v>0</v>
      </c>
    </row>
    <row r="119" spans="1:13" x14ac:dyDescent="0.25">
      <c r="A119" s="143" t="s">
        <v>234</v>
      </c>
      <c r="B119" s="144" t="s">
        <v>209</v>
      </c>
      <c r="C119" s="145" t="s">
        <v>406</v>
      </c>
      <c r="D119" s="145" t="s">
        <v>236</v>
      </c>
      <c r="E119" s="291">
        <v>3</v>
      </c>
      <c r="F119" s="147" t="s">
        <v>237</v>
      </c>
      <c r="G119" s="234">
        <v>1900</v>
      </c>
      <c r="H119" s="298">
        <v>0</v>
      </c>
      <c r="I119" s="273">
        <f t="shared" si="2"/>
        <v>1900</v>
      </c>
      <c r="J119" s="120">
        <f t="shared" si="3"/>
        <v>0</v>
      </c>
    </row>
    <row r="120" spans="1:13" x14ac:dyDescent="0.25">
      <c r="A120" s="143" t="s">
        <v>234</v>
      </c>
      <c r="B120" s="144" t="s">
        <v>209</v>
      </c>
      <c r="C120" s="145" t="s">
        <v>407</v>
      </c>
      <c r="D120" s="145" t="s">
        <v>239</v>
      </c>
      <c r="E120" s="291">
        <v>5</v>
      </c>
      <c r="F120" s="147" t="s">
        <v>240</v>
      </c>
      <c r="G120" s="234">
        <v>700</v>
      </c>
      <c r="H120" s="298">
        <v>0</v>
      </c>
      <c r="I120" s="273">
        <f t="shared" si="2"/>
        <v>700</v>
      </c>
      <c r="J120" s="120">
        <f t="shared" si="3"/>
        <v>0</v>
      </c>
    </row>
    <row r="121" spans="1:13" x14ac:dyDescent="0.25">
      <c r="A121" s="141" t="s">
        <v>408</v>
      </c>
      <c r="B121" s="142" t="s">
        <v>409</v>
      </c>
      <c r="C121" s="142"/>
      <c r="D121" s="142"/>
      <c r="E121" s="142"/>
      <c r="F121" s="142"/>
      <c r="G121" s="232">
        <f>SUM(G122:G129)</f>
        <v>21820</v>
      </c>
      <c r="H121" s="266">
        <f>SUM(H122:H129)</f>
        <v>4990.3</v>
      </c>
      <c r="I121" s="273">
        <f t="shared" si="2"/>
        <v>16829.7</v>
      </c>
      <c r="J121" s="120">
        <f t="shared" si="3"/>
        <v>0.22870302474793769</v>
      </c>
      <c r="L121" s="281">
        <f>G121/G117</f>
        <v>0.37934631432545202</v>
      </c>
      <c r="M121" s="282">
        <f>H121/H117</f>
        <v>0.83445646539471263</v>
      </c>
    </row>
    <row r="122" spans="1:13" x14ac:dyDescent="0.25">
      <c r="A122" s="143" t="s">
        <v>227</v>
      </c>
      <c r="B122" s="144" t="s">
        <v>209</v>
      </c>
      <c r="C122" s="145" t="s">
        <v>410</v>
      </c>
      <c r="D122" s="145" t="s">
        <v>356</v>
      </c>
      <c r="E122" s="291">
        <v>7</v>
      </c>
      <c r="F122" s="146" t="s">
        <v>411</v>
      </c>
      <c r="G122" s="233">
        <v>2800</v>
      </c>
      <c r="H122" s="279">
        <v>0</v>
      </c>
      <c r="I122" s="273">
        <f t="shared" si="2"/>
        <v>2800</v>
      </c>
      <c r="J122" s="120">
        <f t="shared" si="3"/>
        <v>0</v>
      </c>
    </row>
    <row r="123" spans="1:13" x14ac:dyDescent="0.25">
      <c r="A123" s="143" t="s">
        <v>227</v>
      </c>
      <c r="B123" s="144" t="s">
        <v>209</v>
      </c>
      <c r="C123" s="145" t="s">
        <v>412</v>
      </c>
      <c r="D123" s="145" t="s">
        <v>356</v>
      </c>
      <c r="E123" s="291">
        <v>7</v>
      </c>
      <c r="F123" s="146" t="s">
        <v>413</v>
      </c>
      <c r="G123" s="233">
        <v>5600</v>
      </c>
      <c r="H123" s="279">
        <v>0</v>
      </c>
      <c r="I123" s="273">
        <f t="shared" si="2"/>
        <v>5600</v>
      </c>
      <c r="J123" s="120">
        <f t="shared" si="3"/>
        <v>0</v>
      </c>
    </row>
    <row r="124" spans="1:13" x14ac:dyDescent="0.25">
      <c r="A124" s="143" t="s">
        <v>227</v>
      </c>
      <c r="B124" s="144" t="s">
        <v>209</v>
      </c>
      <c r="C124" s="145" t="s">
        <v>414</v>
      </c>
      <c r="D124" s="145" t="s">
        <v>356</v>
      </c>
      <c r="E124" s="291">
        <v>7</v>
      </c>
      <c r="F124" s="146" t="s">
        <v>415</v>
      </c>
      <c r="G124" s="233">
        <v>4680</v>
      </c>
      <c r="H124" s="279">
        <v>1295</v>
      </c>
      <c r="I124" s="273">
        <f t="shared" si="2"/>
        <v>3385</v>
      </c>
      <c r="J124" s="120">
        <f t="shared" si="3"/>
        <v>0.27670940170940173</v>
      </c>
    </row>
    <row r="125" spans="1:13" x14ac:dyDescent="0.25">
      <c r="A125" s="143" t="s">
        <v>227</v>
      </c>
      <c r="B125" s="144" t="s">
        <v>209</v>
      </c>
      <c r="C125" s="145" t="s">
        <v>416</v>
      </c>
      <c r="D125" s="145" t="s">
        <v>356</v>
      </c>
      <c r="E125" s="291">
        <v>7</v>
      </c>
      <c r="F125" s="146" t="s">
        <v>417</v>
      </c>
      <c r="G125" s="233">
        <v>4680</v>
      </c>
      <c r="H125" s="279">
        <v>3415.3</v>
      </c>
      <c r="I125" s="273">
        <f t="shared" si="2"/>
        <v>1264.6999999999998</v>
      </c>
      <c r="J125" s="120">
        <f t="shared" si="3"/>
        <v>0.72976495726495727</v>
      </c>
    </row>
    <row r="126" spans="1:13" x14ac:dyDescent="0.25">
      <c r="A126" s="143" t="s">
        <v>227</v>
      </c>
      <c r="B126" s="144" t="s">
        <v>209</v>
      </c>
      <c r="C126" s="145" t="s">
        <v>418</v>
      </c>
      <c r="D126" s="145" t="s">
        <v>229</v>
      </c>
      <c r="E126" s="291">
        <v>3</v>
      </c>
      <c r="F126" s="146" t="s">
        <v>230</v>
      </c>
      <c r="G126" s="233">
        <v>1250</v>
      </c>
      <c r="H126" s="279">
        <v>280</v>
      </c>
      <c r="I126" s="273">
        <f t="shared" si="2"/>
        <v>970</v>
      </c>
      <c r="J126" s="120">
        <f t="shared" si="3"/>
        <v>0.224</v>
      </c>
    </row>
    <row r="127" spans="1:13" x14ac:dyDescent="0.25">
      <c r="A127" s="143" t="s">
        <v>227</v>
      </c>
      <c r="B127" s="144" t="s">
        <v>209</v>
      </c>
      <c r="C127" s="145" t="s">
        <v>419</v>
      </c>
      <c r="D127" s="145" t="s">
        <v>232</v>
      </c>
      <c r="E127" s="291">
        <v>5</v>
      </c>
      <c r="F127" s="146" t="s">
        <v>233</v>
      </c>
      <c r="G127" s="233">
        <v>350</v>
      </c>
      <c r="H127" s="279">
        <v>0</v>
      </c>
      <c r="I127" s="273">
        <f t="shared" si="2"/>
        <v>350</v>
      </c>
      <c r="J127" s="120">
        <f t="shared" si="3"/>
        <v>0</v>
      </c>
    </row>
    <row r="128" spans="1:13" x14ac:dyDescent="0.25">
      <c r="A128" s="143" t="s">
        <v>234</v>
      </c>
      <c r="B128" s="144" t="s">
        <v>209</v>
      </c>
      <c r="C128" s="145" t="s">
        <v>420</v>
      </c>
      <c r="D128" s="145" t="s">
        <v>236</v>
      </c>
      <c r="E128" s="291">
        <v>3</v>
      </c>
      <c r="F128" s="147" t="s">
        <v>237</v>
      </c>
      <c r="G128" s="234">
        <v>1700</v>
      </c>
      <c r="H128" s="279">
        <v>0</v>
      </c>
      <c r="I128" s="273">
        <f t="shared" si="2"/>
        <v>1700</v>
      </c>
      <c r="J128" s="120">
        <f t="shared" si="3"/>
        <v>0</v>
      </c>
    </row>
    <row r="129" spans="1:13" x14ac:dyDescent="0.25">
      <c r="A129" s="143" t="s">
        <v>234</v>
      </c>
      <c r="B129" s="144" t="s">
        <v>209</v>
      </c>
      <c r="C129" s="145" t="s">
        <v>421</v>
      </c>
      <c r="D129" s="145" t="s">
        <v>239</v>
      </c>
      <c r="E129" s="291">
        <v>5</v>
      </c>
      <c r="F129" s="147" t="s">
        <v>240</v>
      </c>
      <c r="G129" s="234">
        <v>760</v>
      </c>
      <c r="H129" s="279">
        <v>0</v>
      </c>
      <c r="I129" s="273">
        <f t="shared" si="2"/>
        <v>760</v>
      </c>
      <c r="J129" s="120">
        <f t="shared" si="3"/>
        <v>0</v>
      </c>
    </row>
    <row r="130" spans="1:13" x14ac:dyDescent="0.25">
      <c r="A130" s="141" t="s">
        <v>422</v>
      </c>
      <c r="B130" s="142" t="s">
        <v>423</v>
      </c>
      <c r="C130" s="142"/>
      <c r="D130" s="142"/>
      <c r="E130" s="142"/>
      <c r="F130" s="142"/>
      <c r="G130" s="232">
        <f>SUM(G131:G135)</f>
        <v>33100</v>
      </c>
      <c r="H130" s="266">
        <f>SUM(H131:H135)</f>
        <v>990</v>
      </c>
      <c r="I130" s="273">
        <f t="shared" si="2"/>
        <v>32110</v>
      </c>
      <c r="J130" s="120">
        <f t="shared" si="3"/>
        <v>2.9909365558912385E-2</v>
      </c>
      <c r="L130" s="281">
        <f>G130/G117</f>
        <v>0.57545201668984702</v>
      </c>
      <c r="M130" s="282">
        <f>H130/H117</f>
        <v>0.16554353460528737</v>
      </c>
    </row>
    <row r="131" spans="1:13" x14ac:dyDescent="0.25">
      <c r="A131" s="143" t="s">
        <v>227</v>
      </c>
      <c r="B131" s="144" t="s">
        <v>209</v>
      </c>
      <c r="C131" s="160" t="s">
        <v>424</v>
      </c>
      <c r="D131" s="160" t="s">
        <v>356</v>
      </c>
      <c r="E131" s="291">
        <v>7</v>
      </c>
      <c r="F131" s="146" t="s">
        <v>425</v>
      </c>
      <c r="G131" s="233">
        <v>30000</v>
      </c>
      <c r="H131" s="279">
        <v>0</v>
      </c>
      <c r="I131" s="273">
        <f t="shared" ref="I131:I194" si="4">G131-H131</f>
        <v>30000</v>
      </c>
      <c r="J131" s="120">
        <f t="shared" ref="J131:J194" si="5">H131/G131</f>
        <v>0</v>
      </c>
    </row>
    <row r="132" spans="1:13" x14ac:dyDescent="0.25">
      <c r="A132" s="143" t="s">
        <v>227</v>
      </c>
      <c r="B132" s="144" t="s">
        <v>209</v>
      </c>
      <c r="C132" s="145" t="s">
        <v>426</v>
      </c>
      <c r="D132" s="145" t="s">
        <v>229</v>
      </c>
      <c r="E132" s="291">
        <v>3</v>
      </c>
      <c r="F132" s="146" t="s">
        <v>230</v>
      </c>
      <c r="G132" s="233">
        <v>500</v>
      </c>
      <c r="H132" s="279">
        <v>160</v>
      </c>
      <c r="I132" s="273">
        <f t="shared" si="4"/>
        <v>340</v>
      </c>
      <c r="J132" s="120">
        <f t="shared" si="5"/>
        <v>0.32</v>
      </c>
    </row>
    <row r="133" spans="1:13" x14ac:dyDescent="0.25">
      <c r="A133" s="143" t="s">
        <v>227</v>
      </c>
      <c r="B133" s="144" t="s">
        <v>209</v>
      </c>
      <c r="C133" s="160" t="s">
        <v>427</v>
      </c>
      <c r="D133" s="160" t="s">
        <v>232</v>
      </c>
      <c r="E133" s="291">
        <v>5</v>
      </c>
      <c r="F133" s="146" t="s">
        <v>233</v>
      </c>
      <c r="G133" s="233">
        <v>140</v>
      </c>
      <c r="H133" s="279">
        <v>0</v>
      </c>
      <c r="I133" s="273">
        <f t="shared" si="4"/>
        <v>140</v>
      </c>
      <c r="J133" s="120">
        <f t="shared" si="5"/>
        <v>0</v>
      </c>
    </row>
    <row r="134" spans="1:13" x14ac:dyDescent="0.25">
      <c r="A134" s="143" t="s">
        <v>234</v>
      </c>
      <c r="B134" s="144" t="s">
        <v>209</v>
      </c>
      <c r="C134" s="145" t="s">
        <v>428</v>
      </c>
      <c r="D134" s="145" t="s">
        <v>236</v>
      </c>
      <c r="E134" s="291">
        <v>3</v>
      </c>
      <c r="F134" s="147" t="s">
        <v>237</v>
      </c>
      <c r="G134" s="234">
        <v>1700</v>
      </c>
      <c r="H134" s="279">
        <v>810</v>
      </c>
      <c r="I134" s="273">
        <f t="shared" si="4"/>
        <v>890</v>
      </c>
      <c r="J134" s="120">
        <f t="shared" si="5"/>
        <v>0.47647058823529409</v>
      </c>
    </row>
    <row r="135" spans="1:13" x14ac:dyDescent="0.25">
      <c r="A135" s="143" t="s">
        <v>234</v>
      </c>
      <c r="B135" s="144" t="s">
        <v>209</v>
      </c>
      <c r="C135" s="161" t="s">
        <v>429</v>
      </c>
      <c r="D135" s="145" t="s">
        <v>239</v>
      </c>
      <c r="E135" s="291">
        <v>5</v>
      </c>
      <c r="F135" s="147" t="s">
        <v>240</v>
      </c>
      <c r="G135" s="234">
        <v>760</v>
      </c>
      <c r="H135" s="279">
        <v>20</v>
      </c>
      <c r="I135" s="273">
        <f t="shared" si="4"/>
        <v>740</v>
      </c>
      <c r="J135" s="120">
        <f t="shared" si="5"/>
        <v>2.6315789473684209E-2</v>
      </c>
    </row>
    <row r="136" spans="1:13" x14ac:dyDescent="0.25">
      <c r="A136" s="162"/>
      <c r="B136" s="163" t="s">
        <v>430</v>
      </c>
      <c r="C136" s="163"/>
      <c r="D136" s="163"/>
      <c r="E136" s="163"/>
      <c r="F136" s="163"/>
      <c r="G136" s="243">
        <f>SUM(G137:G141)</f>
        <v>31700</v>
      </c>
      <c r="H136" s="243">
        <f>SUM(H137:H141)</f>
        <v>11466.16</v>
      </c>
      <c r="I136" s="273">
        <f t="shared" si="4"/>
        <v>20233.84</v>
      </c>
      <c r="J136" s="120">
        <f t="shared" si="5"/>
        <v>0.36170851735015774</v>
      </c>
      <c r="L136" s="283">
        <f>G136/G288</f>
        <v>2.536000016230433E-2</v>
      </c>
      <c r="M136" s="284">
        <f>H136/H288</f>
        <v>9.9175461477520963E-3</v>
      </c>
    </row>
    <row r="137" spans="1:13" x14ac:dyDescent="0.25">
      <c r="A137" s="164" t="s">
        <v>234</v>
      </c>
      <c r="B137" s="144" t="s">
        <v>209</v>
      </c>
      <c r="C137" s="165" t="s">
        <v>431</v>
      </c>
      <c r="D137" s="165" t="s">
        <v>259</v>
      </c>
      <c r="E137" s="286">
        <v>1</v>
      </c>
      <c r="F137" s="166" t="s">
        <v>432</v>
      </c>
      <c r="G137" s="244">
        <v>7500</v>
      </c>
      <c r="H137" s="279">
        <v>0</v>
      </c>
      <c r="I137" s="273">
        <f t="shared" si="4"/>
        <v>7500</v>
      </c>
      <c r="J137" s="120">
        <f t="shared" si="5"/>
        <v>0</v>
      </c>
    </row>
    <row r="138" spans="1:13" x14ac:dyDescent="0.25">
      <c r="A138" s="164" t="s">
        <v>234</v>
      </c>
      <c r="B138" s="144" t="s">
        <v>209</v>
      </c>
      <c r="C138" s="165" t="s">
        <v>433</v>
      </c>
      <c r="D138" s="165" t="s">
        <v>259</v>
      </c>
      <c r="E138" s="286">
        <v>1</v>
      </c>
      <c r="F138" s="166" t="s">
        <v>434</v>
      </c>
      <c r="G138" s="244">
        <v>10400</v>
      </c>
      <c r="H138" s="279">
        <v>3005.5</v>
      </c>
      <c r="I138" s="273">
        <f t="shared" si="4"/>
        <v>7394.5</v>
      </c>
      <c r="J138" s="120">
        <f t="shared" si="5"/>
        <v>0.28899038461538462</v>
      </c>
    </row>
    <row r="139" spans="1:13" x14ac:dyDescent="0.25">
      <c r="A139" s="164" t="s">
        <v>234</v>
      </c>
      <c r="B139" s="144" t="s">
        <v>209</v>
      </c>
      <c r="C139" s="165" t="s">
        <v>435</v>
      </c>
      <c r="D139" s="165" t="s">
        <v>259</v>
      </c>
      <c r="E139" s="286">
        <v>1</v>
      </c>
      <c r="F139" s="166" t="s">
        <v>436</v>
      </c>
      <c r="G139" s="244">
        <v>8000</v>
      </c>
      <c r="H139" s="279">
        <v>8460.66</v>
      </c>
      <c r="I139" s="273">
        <f t="shared" si="4"/>
        <v>-460.65999999999985</v>
      </c>
      <c r="J139" s="120">
        <f t="shared" si="5"/>
        <v>1.0575825000000001</v>
      </c>
    </row>
    <row r="140" spans="1:13" x14ac:dyDescent="0.25">
      <c r="A140" s="164" t="s">
        <v>234</v>
      </c>
      <c r="B140" s="144" t="s">
        <v>209</v>
      </c>
      <c r="C140" s="165" t="s">
        <v>437</v>
      </c>
      <c r="D140" s="165" t="s">
        <v>259</v>
      </c>
      <c r="E140" s="286">
        <v>1</v>
      </c>
      <c r="F140" s="166" t="s">
        <v>438</v>
      </c>
      <c r="G140" s="245">
        <v>5000</v>
      </c>
      <c r="H140" s="279">
        <v>0</v>
      </c>
      <c r="I140" s="273">
        <f t="shared" si="4"/>
        <v>5000</v>
      </c>
      <c r="J140" s="120">
        <f t="shared" si="5"/>
        <v>0</v>
      </c>
    </row>
    <row r="141" spans="1:13" x14ac:dyDescent="0.25">
      <c r="A141" s="164" t="s">
        <v>234</v>
      </c>
      <c r="B141" s="144" t="s">
        <v>209</v>
      </c>
      <c r="C141" s="165" t="s">
        <v>439</v>
      </c>
      <c r="D141" s="165" t="s">
        <v>259</v>
      </c>
      <c r="E141" s="286">
        <v>1</v>
      </c>
      <c r="F141" s="166" t="s">
        <v>173</v>
      </c>
      <c r="G141" s="244">
        <v>800</v>
      </c>
      <c r="H141" s="279">
        <v>0</v>
      </c>
      <c r="I141" s="273">
        <f t="shared" si="4"/>
        <v>800</v>
      </c>
      <c r="J141" s="120">
        <f t="shared" si="5"/>
        <v>0</v>
      </c>
    </row>
    <row r="142" spans="1:13" x14ac:dyDescent="0.25">
      <c r="A142" s="162"/>
      <c r="B142" s="163" t="s">
        <v>440</v>
      </c>
      <c r="C142" s="163"/>
      <c r="D142" s="163"/>
      <c r="E142" s="163"/>
      <c r="F142" s="163"/>
      <c r="G142" s="243">
        <f>G143+G148+G159+G164+G168</f>
        <v>416400.45</v>
      </c>
      <c r="H142" s="243">
        <f>H143+H148+H159+H164+H168</f>
        <v>409159.87</v>
      </c>
      <c r="I142" s="273">
        <f t="shared" si="4"/>
        <v>7240.5800000000163</v>
      </c>
      <c r="J142" s="120">
        <f t="shared" si="5"/>
        <v>0.98261149813839055</v>
      </c>
      <c r="L142" s="283">
        <f>G142/G288</f>
        <v>0.33312036213197466</v>
      </c>
      <c r="M142" s="284">
        <f>H142/H288</f>
        <v>0.35389894197649852</v>
      </c>
    </row>
    <row r="143" spans="1:13" x14ac:dyDescent="0.25">
      <c r="A143" s="167"/>
      <c r="B143" s="168"/>
      <c r="C143" s="169"/>
      <c r="D143" s="170"/>
      <c r="E143" s="170" t="s">
        <v>441</v>
      </c>
      <c r="F143" s="171"/>
      <c r="G143" s="246">
        <f>SUM(G144:G147)</f>
        <v>118000</v>
      </c>
      <c r="H143" s="246">
        <f>SUM(H144:H147)</f>
        <v>127269.88</v>
      </c>
      <c r="I143" s="273">
        <f t="shared" si="4"/>
        <v>-9269.8800000000047</v>
      </c>
      <c r="J143" s="120">
        <f t="shared" si="5"/>
        <v>1.0785583050847458</v>
      </c>
      <c r="L143" s="281">
        <f>G143/G142</f>
        <v>0.28338105782546585</v>
      </c>
      <c r="M143" s="282">
        <f>H143/H142</f>
        <v>0.31105171677760091</v>
      </c>
    </row>
    <row r="144" spans="1:13" x14ac:dyDescent="0.25">
      <c r="A144" s="172" t="s">
        <v>234</v>
      </c>
      <c r="B144" s="144" t="s">
        <v>209</v>
      </c>
      <c r="C144" s="145" t="s">
        <v>442</v>
      </c>
      <c r="D144" s="145" t="s">
        <v>443</v>
      </c>
      <c r="E144" s="287">
        <v>1</v>
      </c>
      <c r="F144" s="173" t="s">
        <v>444</v>
      </c>
      <c r="G144" s="247">
        <v>100000</v>
      </c>
      <c r="H144" s="298">
        <v>104522.1</v>
      </c>
      <c r="I144" s="273">
        <f t="shared" si="4"/>
        <v>-4522.1000000000058</v>
      </c>
      <c r="J144" s="120">
        <f t="shared" si="5"/>
        <v>1.045221</v>
      </c>
    </row>
    <row r="145" spans="1:13" x14ac:dyDescent="0.25">
      <c r="A145" s="172" t="s">
        <v>234</v>
      </c>
      <c r="B145" s="144" t="s">
        <v>209</v>
      </c>
      <c r="C145" s="145" t="s">
        <v>445</v>
      </c>
      <c r="D145" s="145" t="s">
        <v>443</v>
      </c>
      <c r="E145" s="287">
        <v>1</v>
      </c>
      <c r="F145" s="173" t="s">
        <v>446</v>
      </c>
      <c r="G145" s="247">
        <v>-1.8189894035458565E-12</v>
      </c>
      <c r="H145" s="298">
        <v>0</v>
      </c>
      <c r="I145" s="273">
        <f t="shared" si="4"/>
        <v>-1.8189894035458565E-12</v>
      </c>
      <c r="J145" s="120">
        <f t="shared" si="5"/>
        <v>0</v>
      </c>
    </row>
    <row r="146" spans="1:13" x14ac:dyDescent="0.25">
      <c r="A146" s="172" t="s">
        <v>234</v>
      </c>
      <c r="B146" s="144" t="s">
        <v>209</v>
      </c>
      <c r="C146" s="145" t="s">
        <v>447</v>
      </c>
      <c r="D146" s="145" t="s">
        <v>443</v>
      </c>
      <c r="E146" s="287">
        <v>1</v>
      </c>
      <c r="F146" s="173" t="s">
        <v>448</v>
      </c>
      <c r="G146" s="244">
        <v>9000</v>
      </c>
      <c r="H146" s="298">
        <v>11947.810000000001</v>
      </c>
      <c r="I146" s="273">
        <f t="shared" si="4"/>
        <v>-2947.8100000000013</v>
      </c>
      <c r="J146" s="120">
        <f t="shared" si="5"/>
        <v>1.3275344444444446</v>
      </c>
    </row>
    <row r="147" spans="1:13" x14ac:dyDescent="0.25">
      <c r="A147" s="172" t="s">
        <v>234</v>
      </c>
      <c r="B147" s="144" t="s">
        <v>209</v>
      </c>
      <c r="C147" s="145" t="s">
        <v>449</v>
      </c>
      <c r="D147" s="145" t="s">
        <v>443</v>
      </c>
      <c r="E147" s="287">
        <v>1</v>
      </c>
      <c r="F147" s="173" t="s">
        <v>450</v>
      </c>
      <c r="G147" s="244">
        <v>9000</v>
      </c>
      <c r="H147" s="298">
        <v>10799.969999999994</v>
      </c>
      <c r="I147" s="273">
        <f t="shared" si="4"/>
        <v>-1799.9699999999939</v>
      </c>
      <c r="J147" s="120">
        <f t="shared" si="5"/>
        <v>1.1999966666666659</v>
      </c>
    </row>
    <row r="148" spans="1:13" x14ac:dyDescent="0.25">
      <c r="A148" s="167"/>
      <c r="B148" s="168"/>
      <c r="C148" s="169"/>
      <c r="D148" s="170"/>
      <c r="E148" s="170" t="s">
        <v>451</v>
      </c>
      <c r="F148" s="171"/>
      <c r="G148" s="246">
        <f>SUM(G149:G158)</f>
        <v>118760</v>
      </c>
      <c r="H148" s="246">
        <f>SUM(H149:H158)</f>
        <v>104727.97000000002</v>
      </c>
      <c r="I148" s="273">
        <f t="shared" si="4"/>
        <v>14032.029999999984</v>
      </c>
      <c r="J148" s="120">
        <f t="shared" si="5"/>
        <v>0.88184548669585727</v>
      </c>
      <c r="L148" s="281">
        <f>G148/G142</f>
        <v>0.2852062239606129</v>
      </c>
      <c r="M148" s="282">
        <f>H148/H142</f>
        <v>0.25595855722605448</v>
      </c>
    </row>
    <row r="149" spans="1:13" x14ac:dyDescent="0.25">
      <c r="A149" s="172" t="s">
        <v>234</v>
      </c>
      <c r="B149" s="144" t="s">
        <v>209</v>
      </c>
      <c r="C149" s="145" t="s">
        <v>452</v>
      </c>
      <c r="D149" s="145" t="s">
        <v>443</v>
      </c>
      <c r="E149" s="287">
        <v>1</v>
      </c>
      <c r="F149" s="173" t="s">
        <v>453</v>
      </c>
      <c r="G149" s="247">
        <v>47400</v>
      </c>
      <c r="H149" s="298">
        <v>44697.880000000005</v>
      </c>
      <c r="I149" s="273">
        <f t="shared" si="4"/>
        <v>2702.1199999999953</v>
      </c>
      <c r="J149" s="120">
        <f t="shared" si="5"/>
        <v>0.9429932489451478</v>
      </c>
    </row>
    <row r="150" spans="1:13" x14ac:dyDescent="0.25">
      <c r="A150" s="172" t="s">
        <v>234</v>
      </c>
      <c r="B150" s="144" t="s">
        <v>209</v>
      </c>
      <c r="C150" s="145" t="s">
        <v>454</v>
      </c>
      <c r="D150" s="145" t="s">
        <v>443</v>
      </c>
      <c r="E150" s="287">
        <v>1</v>
      </c>
      <c r="F150" s="173" t="s">
        <v>455</v>
      </c>
      <c r="G150" s="244">
        <v>13500</v>
      </c>
      <c r="H150" s="298">
        <v>960</v>
      </c>
      <c r="I150" s="273">
        <f t="shared" si="4"/>
        <v>12540</v>
      </c>
      <c r="J150" s="120">
        <f t="shared" si="5"/>
        <v>7.1111111111111111E-2</v>
      </c>
    </row>
    <row r="151" spans="1:13" x14ac:dyDescent="0.25">
      <c r="A151" s="172" t="s">
        <v>234</v>
      </c>
      <c r="B151" s="144" t="s">
        <v>209</v>
      </c>
      <c r="C151" s="145" t="s">
        <v>456</v>
      </c>
      <c r="D151" s="145" t="s">
        <v>443</v>
      </c>
      <c r="E151" s="287">
        <v>1</v>
      </c>
      <c r="F151" s="173" t="s">
        <v>457</v>
      </c>
      <c r="G151" s="244">
        <v>0</v>
      </c>
      <c r="H151" s="298">
        <v>433.49</v>
      </c>
      <c r="I151" s="273">
        <f t="shared" si="4"/>
        <v>-433.49</v>
      </c>
      <c r="J151" s="120" t="e">
        <f t="shared" si="5"/>
        <v>#DIV/0!</v>
      </c>
    </row>
    <row r="152" spans="1:13" x14ac:dyDescent="0.25">
      <c r="A152" s="164" t="s">
        <v>234</v>
      </c>
      <c r="B152" s="144" t="s">
        <v>209</v>
      </c>
      <c r="C152" s="174" t="s">
        <v>458</v>
      </c>
      <c r="D152" s="165" t="s">
        <v>259</v>
      </c>
      <c r="E152" s="286">
        <v>1</v>
      </c>
      <c r="F152" s="175" t="s">
        <v>459</v>
      </c>
      <c r="G152" s="244">
        <v>9330</v>
      </c>
      <c r="H152" s="279">
        <v>10802.9</v>
      </c>
      <c r="I152" s="273">
        <f t="shared" si="4"/>
        <v>-1472.8999999999996</v>
      </c>
      <c r="J152" s="120">
        <f t="shared" si="5"/>
        <v>1.1578670953912111</v>
      </c>
    </row>
    <row r="153" spans="1:13" x14ac:dyDescent="0.25">
      <c r="A153" s="164" t="s">
        <v>234</v>
      </c>
      <c r="B153" s="144" t="s">
        <v>209</v>
      </c>
      <c r="C153" s="165" t="s">
        <v>460</v>
      </c>
      <c r="D153" s="165" t="s">
        <v>259</v>
      </c>
      <c r="E153" s="286">
        <v>1</v>
      </c>
      <c r="F153" s="176" t="s">
        <v>461</v>
      </c>
      <c r="G153" s="247">
        <v>19600</v>
      </c>
      <c r="H153" s="279">
        <v>19164.080000000002</v>
      </c>
      <c r="I153" s="273">
        <f t="shared" si="4"/>
        <v>435.91999999999825</v>
      </c>
      <c r="J153" s="120">
        <f t="shared" si="5"/>
        <v>0.97775918367346948</v>
      </c>
    </row>
    <row r="154" spans="1:13" x14ac:dyDescent="0.25">
      <c r="A154" s="164" t="s">
        <v>234</v>
      </c>
      <c r="B154" s="144" t="s">
        <v>209</v>
      </c>
      <c r="C154" s="165" t="s">
        <v>462</v>
      </c>
      <c r="D154" s="165" t="s">
        <v>259</v>
      </c>
      <c r="E154" s="286">
        <v>1</v>
      </c>
      <c r="F154" s="176" t="s">
        <v>463</v>
      </c>
      <c r="G154" s="244">
        <v>3580</v>
      </c>
      <c r="H154" s="298">
        <v>2207.6600000000003</v>
      </c>
      <c r="I154" s="273">
        <f t="shared" si="4"/>
        <v>1372.3399999999997</v>
      </c>
      <c r="J154" s="120">
        <f t="shared" si="5"/>
        <v>0.61666480446927385</v>
      </c>
    </row>
    <row r="155" spans="1:13" x14ac:dyDescent="0.25">
      <c r="A155" s="172" t="s">
        <v>234</v>
      </c>
      <c r="B155" s="144" t="s">
        <v>209</v>
      </c>
      <c r="C155" s="145" t="s">
        <v>464</v>
      </c>
      <c r="D155" s="145" t="s">
        <v>443</v>
      </c>
      <c r="E155" s="287">
        <v>1</v>
      </c>
      <c r="F155" s="173" t="s">
        <v>465</v>
      </c>
      <c r="G155" s="244">
        <v>6850</v>
      </c>
      <c r="H155" s="298">
        <v>7035.9800000000014</v>
      </c>
      <c r="I155" s="273">
        <f t="shared" si="4"/>
        <v>-185.98000000000138</v>
      </c>
      <c r="J155" s="120">
        <f t="shared" si="5"/>
        <v>1.0271503649635039</v>
      </c>
    </row>
    <row r="156" spans="1:13" x14ac:dyDescent="0.25">
      <c r="A156" s="177" t="s">
        <v>234</v>
      </c>
      <c r="B156" s="144" t="s">
        <v>209</v>
      </c>
      <c r="C156" s="155" t="s">
        <v>466</v>
      </c>
      <c r="D156" s="155" t="s">
        <v>443</v>
      </c>
      <c r="E156" s="286">
        <v>1</v>
      </c>
      <c r="F156" s="178" t="s">
        <v>467</v>
      </c>
      <c r="G156" s="248">
        <v>15000</v>
      </c>
      <c r="H156" s="298">
        <v>17503.230000000007</v>
      </c>
      <c r="I156" s="273">
        <f t="shared" si="4"/>
        <v>-2503.2300000000068</v>
      </c>
      <c r="J156" s="120">
        <f t="shared" si="5"/>
        <v>1.1668820000000004</v>
      </c>
    </row>
    <row r="157" spans="1:13" x14ac:dyDescent="0.25">
      <c r="A157" s="177" t="s">
        <v>234</v>
      </c>
      <c r="B157" s="144" t="s">
        <v>209</v>
      </c>
      <c r="C157" s="179" t="s">
        <v>468</v>
      </c>
      <c r="D157" s="155" t="s">
        <v>443</v>
      </c>
      <c r="E157" s="288">
        <v>1</v>
      </c>
      <c r="F157" s="180" t="s">
        <v>469</v>
      </c>
      <c r="G157" s="249">
        <v>2000</v>
      </c>
      <c r="H157" s="298">
        <v>1810.7500000000002</v>
      </c>
      <c r="I157" s="273">
        <f t="shared" si="4"/>
        <v>189.24999999999977</v>
      </c>
      <c r="J157" s="120">
        <f t="shared" si="5"/>
        <v>0.90537500000000015</v>
      </c>
    </row>
    <row r="158" spans="1:13" x14ac:dyDescent="0.25">
      <c r="A158" s="181" t="s">
        <v>234</v>
      </c>
      <c r="B158" s="144" t="s">
        <v>209</v>
      </c>
      <c r="C158" s="182" t="s">
        <v>470</v>
      </c>
      <c r="D158" s="183" t="s">
        <v>259</v>
      </c>
      <c r="E158" s="288">
        <v>1</v>
      </c>
      <c r="F158" s="184" t="s">
        <v>471</v>
      </c>
      <c r="G158" s="249">
        <v>1500</v>
      </c>
      <c r="H158" s="279">
        <v>112</v>
      </c>
      <c r="I158" s="273">
        <f t="shared" si="4"/>
        <v>1388</v>
      </c>
      <c r="J158" s="120">
        <f t="shared" si="5"/>
        <v>7.4666666666666673E-2</v>
      </c>
    </row>
    <row r="159" spans="1:13" x14ac:dyDescent="0.25">
      <c r="A159" s="167"/>
      <c r="B159" s="168"/>
      <c r="C159" s="169"/>
      <c r="D159" s="170"/>
      <c r="E159" s="170" t="s">
        <v>472</v>
      </c>
      <c r="F159" s="171"/>
      <c r="G159" s="246">
        <f>SUM(G160:G163)</f>
        <v>110970.45</v>
      </c>
      <c r="H159" s="246">
        <f>SUM(H160:H163)</f>
        <v>109268.55</v>
      </c>
      <c r="I159" s="273">
        <f t="shared" si="4"/>
        <v>1701.8999999999942</v>
      </c>
      <c r="J159" s="120">
        <f t="shared" si="5"/>
        <v>0.98466348473850474</v>
      </c>
      <c r="L159" s="281">
        <f>G159/G142</f>
        <v>0.26649935176583023</v>
      </c>
      <c r="M159" s="282">
        <f>H159/H142</f>
        <v>0.26705588209322678</v>
      </c>
    </row>
    <row r="160" spans="1:13" x14ac:dyDescent="0.25">
      <c r="A160" s="172" t="s">
        <v>227</v>
      </c>
      <c r="B160" s="144" t="s">
        <v>209</v>
      </c>
      <c r="C160" s="145" t="s">
        <v>473</v>
      </c>
      <c r="D160" s="145" t="s">
        <v>474</v>
      </c>
      <c r="E160" s="289">
        <v>1</v>
      </c>
      <c r="F160" s="159" t="s">
        <v>475</v>
      </c>
      <c r="G160" s="250">
        <v>33910.449999999997</v>
      </c>
      <c r="H160" s="298">
        <v>32348.550000000007</v>
      </c>
      <c r="I160" s="273">
        <f t="shared" si="4"/>
        <v>1561.8999999999905</v>
      </c>
      <c r="J160" s="120">
        <f t="shared" si="5"/>
        <v>0.95394045198456545</v>
      </c>
    </row>
    <row r="161" spans="1:13" x14ac:dyDescent="0.25">
      <c r="A161" s="172" t="s">
        <v>227</v>
      </c>
      <c r="B161" s="144" t="s">
        <v>209</v>
      </c>
      <c r="C161" s="145" t="s">
        <v>476</v>
      </c>
      <c r="D161" s="145" t="s">
        <v>474</v>
      </c>
      <c r="E161" s="289">
        <v>1</v>
      </c>
      <c r="F161" s="159" t="s">
        <v>477</v>
      </c>
      <c r="G161" s="251">
        <v>31500</v>
      </c>
      <c r="H161" s="298">
        <v>31500</v>
      </c>
      <c r="I161" s="273">
        <f t="shared" si="4"/>
        <v>0</v>
      </c>
      <c r="J161" s="120">
        <f t="shared" si="5"/>
        <v>1</v>
      </c>
    </row>
    <row r="162" spans="1:13" x14ac:dyDescent="0.25">
      <c r="A162" s="164" t="s">
        <v>227</v>
      </c>
      <c r="B162" s="144" t="s">
        <v>209</v>
      </c>
      <c r="C162" s="165" t="s">
        <v>478</v>
      </c>
      <c r="D162" s="165" t="s">
        <v>356</v>
      </c>
      <c r="E162" s="286">
        <v>1</v>
      </c>
      <c r="F162" s="185" t="s">
        <v>479</v>
      </c>
      <c r="G162" s="250">
        <v>18960</v>
      </c>
      <c r="H162" s="279">
        <v>18120</v>
      </c>
      <c r="I162" s="273">
        <f t="shared" si="4"/>
        <v>840</v>
      </c>
      <c r="J162" s="120">
        <f t="shared" si="5"/>
        <v>0.95569620253164556</v>
      </c>
    </row>
    <row r="163" spans="1:13" x14ac:dyDescent="0.25">
      <c r="A163" s="172" t="s">
        <v>227</v>
      </c>
      <c r="B163" s="144" t="s">
        <v>209</v>
      </c>
      <c r="C163" s="145" t="s">
        <v>480</v>
      </c>
      <c r="D163" s="145" t="s">
        <v>474</v>
      </c>
      <c r="E163" s="289">
        <v>1</v>
      </c>
      <c r="F163" s="159" t="s">
        <v>481</v>
      </c>
      <c r="G163" s="250">
        <v>26600</v>
      </c>
      <c r="H163" s="298">
        <v>27300</v>
      </c>
      <c r="I163" s="273">
        <f t="shared" si="4"/>
        <v>-700</v>
      </c>
      <c r="J163" s="120">
        <f t="shared" si="5"/>
        <v>1.0263157894736843</v>
      </c>
    </row>
    <row r="164" spans="1:13" x14ac:dyDescent="0.25">
      <c r="A164" s="167"/>
      <c r="B164" s="168"/>
      <c r="C164" s="169"/>
      <c r="D164" s="170"/>
      <c r="E164" s="170" t="s">
        <v>482</v>
      </c>
      <c r="F164" s="171"/>
      <c r="G164" s="246">
        <f>SUM(G165:G167)</f>
        <v>38070</v>
      </c>
      <c r="H164" s="246">
        <f>SUM(H165:H167)</f>
        <v>37310</v>
      </c>
      <c r="I164" s="273">
        <f t="shared" si="4"/>
        <v>760</v>
      </c>
      <c r="J164" s="120">
        <f t="shared" si="5"/>
        <v>0.98003677436301551</v>
      </c>
      <c r="L164" s="281">
        <f>G164/G142</f>
        <v>9.1426414164538006E-2</v>
      </c>
      <c r="M164" s="282">
        <f>H164/H142</f>
        <v>9.1186850753471993E-2</v>
      </c>
    </row>
    <row r="165" spans="1:13" x14ac:dyDescent="0.25">
      <c r="A165" s="172" t="s">
        <v>165</v>
      </c>
      <c r="B165" s="144" t="s">
        <v>209</v>
      </c>
      <c r="C165" s="145" t="s">
        <v>483</v>
      </c>
      <c r="D165" s="145" t="s">
        <v>484</v>
      </c>
      <c r="E165" s="289">
        <v>1</v>
      </c>
      <c r="F165" s="159" t="s">
        <v>485</v>
      </c>
      <c r="G165" s="251">
        <v>16200</v>
      </c>
      <c r="H165" s="298">
        <v>16250</v>
      </c>
      <c r="I165" s="273">
        <f t="shared" si="4"/>
        <v>-50</v>
      </c>
      <c r="J165" s="120">
        <f t="shared" si="5"/>
        <v>1.0030864197530864</v>
      </c>
    </row>
    <row r="166" spans="1:13" x14ac:dyDescent="0.25">
      <c r="A166" s="172" t="s">
        <v>165</v>
      </c>
      <c r="B166" s="144" t="s">
        <v>209</v>
      </c>
      <c r="C166" s="145" t="s">
        <v>486</v>
      </c>
      <c r="D166" s="145" t="s">
        <v>484</v>
      </c>
      <c r="E166" s="289">
        <v>1</v>
      </c>
      <c r="F166" s="159" t="s">
        <v>487</v>
      </c>
      <c r="G166" s="251">
        <v>15120</v>
      </c>
      <c r="H166" s="298">
        <v>14280</v>
      </c>
      <c r="I166" s="273">
        <f t="shared" si="4"/>
        <v>840</v>
      </c>
      <c r="J166" s="120">
        <f t="shared" si="5"/>
        <v>0.94444444444444442</v>
      </c>
    </row>
    <row r="167" spans="1:13" x14ac:dyDescent="0.25">
      <c r="A167" s="172" t="s">
        <v>165</v>
      </c>
      <c r="B167" s="144" t="s">
        <v>209</v>
      </c>
      <c r="C167" s="145" t="s">
        <v>488</v>
      </c>
      <c r="D167" s="145" t="s">
        <v>484</v>
      </c>
      <c r="E167" s="289">
        <v>1</v>
      </c>
      <c r="F167" s="159" t="s">
        <v>489</v>
      </c>
      <c r="G167" s="251">
        <v>6750</v>
      </c>
      <c r="H167" s="298">
        <v>6780</v>
      </c>
      <c r="I167" s="273">
        <f t="shared" si="4"/>
        <v>-30</v>
      </c>
      <c r="J167" s="120">
        <f t="shared" si="5"/>
        <v>1.0044444444444445</v>
      </c>
    </row>
    <row r="168" spans="1:13" x14ac:dyDescent="0.25">
      <c r="A168" s="167"/>
      <c r="B168" s="168"/>
      <c r="C168" s="169"/>
      <c r="D168" s="170"/>
      <c r="E168" s="170" t="s">
        <v>490</v>
      </c>
      <c r="F168" s="171"/>
      <c r="G168" s="246">
        <f>SUM(G169:G171)</f>
        <v>30600</v>
      </c>
      <c r="H168" s="246">
        <f>SUM(H169:H171)</f>
        <v>30583.469999999994</v>
      </c>
      <c r="I168" s="273">
        <f t="shared" si="4"/>
        <v>16.530000000006112</v>
      </c>
      <c r="J168" s="120">
        <f t="shared" si="5"/>
        <v>0.99945980392156841</v>
      </c>
      <c r="L168" s="281">
        <f>G168/G142</f>
        <v>7.3486952283553009E-2</v>
      </c>
      <c r="M168" s="282">
        <f>H168/H142</f>
        <v>7.4746993149645863E-2</v>
      </c>
    </row>
    <row r="169" spans="1:13" x14ac:dyDescent="0.25">
      <c r="A169" s="172" t="s">
        <v>166</v>
      </c>
      <c r="B169" s="144" t="s">
        <v>209</v>
      </c>
      <c r="C169" s="145" t="s">
        <v>491</v>
      </c>
      <c r="D169" s="145" t="s">
        <v>492</v>
      </c>
      <c r="E169" s="289">
        <v>1</v>
      </c>
      <c r="F169" s="159" t="s">
        <v>493</v>
      </c>
      <c r="G169" s="251">
        <v>9900</v>
      </c>
      <c r="H169" s="298">
        <v>9898.1299999999974</v>
      </c>
      <c r="I169" s="273">
        <f t="shared" si="4"/>
        <v>1.8700000000026193</v>
      </c>
      <c r="J169" s="120">
        <f t="shared" si="5"/>
        <v>0.99981111111111087</v>
      </c>
    </row>
    <row r="170" spans="1:13" x14ac:dyDescent="0.25">
      <c r="A170" s="172" t="s">
        <v>166</v>
      </c>
      <c r="B170" s="144" t="s">
        <v>209</v>
      </c>
      <c r="C170" s="145" t="s">
        <v>494</v>
      </c>
      <c r="D170" s="145" t="s">
        <v>492</v>
      </c>
      <c r="E170" s="289">
        <v>1</v>
      </c>
      <c r="F170" s="159" t="s">
        <v>495</v>
      </c>
      <c r="G170" s="251">
        <v>8100</v>
      </c>
      <c r="H170" s="298">
        <v>8089.7800000000007</v>
      </c>
      <c r="I170" s="273">
        <f t="shared" si="4"/>
        <v>10.219999999999345</v>
      </c>
      <c r="J170" s="120">
        <f t="shared" si="5"/>
        <v>0.99873827160493833</v>
      </c>
    </row>
    <row r="171" spans="1:13" x14ac:dyDescent="0.25">
      <c r="A171" s="172" t="s">
        <v>166</v>
      </c>
      <c r="B171" s="144" t="s">
        <v>209</v>
      </c>
      <c r="C171" s="145" t="s">
        <v>496</v>
      </c>
      <c r="D171" s="145" t="s">
        <v>492</v>
      </c>
      <c r="E171" s="289">
        <v>1</v>
      </c>
      <c r="F171" s="159" t="s">
        <v>489</v>
      </c>
      <c r="G171" s="251">
        <v>12600</v>
      </c>
      <c r="H171" s="298">
        <v>12595.559999999998</v>
      </c>
      <c r="I171" s="273">
        <f t="shared" si="4"/>
        <v>4.4400000000023283</v>
      </c>
      <c r="J171" s="120">
        <f t="shared" si="5"/>
        <v>0.9996476190476189</v>
      </c>
    </row>
    <row r="172" spans="1:13" x14ac:dyDescent="0.25">
      <c r="A172" s="162"/>
      <c r="B172" s="163" t="s">
        <v>497</v>
      </c>
      <c r="C172" s="163"/>
      <c r="D172" s="163"/>
      <c r="E172" s="163"/>
      <c r="F172" s="163"/>
      <c r="G172" s="243">
        <f>SUM(G173:G181)</f>
        <v>16688.39</v>
      </c>
      <c r="H172" s="243">
        <f>SUM(H173:H181)</f>
        <v>12268.45</v>
      </c>
      <c r="I172" s="273">
        <f t="shared" si="4"/>
        <v>4419.9399999999987</v>
      </c>
      <c r="J172" s="120">
        <f t="shared" si="5"/>
        <v>0.73514880704489771</v>
      </c>
      <c r="L172" s="283">
        <f>G172/G288</f>
        <v>1.335071208544473E-2</v>
      </c>
      <c r="M172" s="284">
        <f>H172/H288</f>
        <v>1.0611479260396612E-2</v>
      </c>
    </row>
    <row r="173" spans="1:13" x14ac:dyDescent="0.25">
      <c r="A173" s="152" t="s">
        <v>234</v>
      </c>
      <c r="B173" s="186" t="s">
        <v>498</v>
      </c>
      <c r="C173" s="145" t="s">
        <v>499</v>
      </c>
      <c r="D173" s="187" t="s">
        <v>268</v>
      </c>
      <c r="E173" s="293">
        <v>2</v>
      </c>
      <c r="F173" s="188" t="s">
        <v>500</v>
      </c>
      <c r="G173" s="244">
        <v>4335</v>
      </c>
      <c r="H173" s="298">
        <v>2142</v>
      </c>
      <c r="I173" s="273">
        <f t="shared" si="4"/>
        <v>2193</v>
      </c>
      <c r="J173" s="120">
        <f t="shared" si="5"/>
        <v>0.49411764705882355</v>
      </c>
    </row>
    <row r="174" spans="1:13" x14ac:dyDescent="0.25">
      <c r="A174" s="152" t="s">
        <v>234</v>
      </c>
      <c r="B174" s="186" t="s">
        <v>498</v>
      </c>
      <c r="C174" s="145" t="s">
        <v>501</v>
      </c>
      <c r="D174" s="187" t="s">
        <v>268</v>
      </c>
      <c r="E174" s="294">
        <v>2</v>
      </c>
      <c r="F174" s="188" t="s">
        <v>502</v>
      </c>
      <c r="G174" s="244">
        <v>4520</v>
      </c>
      <c r="H174" s="298">
        <v>5109.99</v>
      </c>
      <c r="I174" s="273">
        <f t="shared" si="4"/>
        <v>-589.98999999999978</v>
      </c>
      <c r="J174" s="120">
        <f t="shared" si="5"/>
        <v>1.1305287610619468</v>
      </c>
    </row>
    <row r="175" spans="1:13" x14ac:dyDescent="0.25">
      <c r="A175" s="152" t="s">
        <v>234</v>
      </c>
      <c r="B175" s="186" t="s">
        <v>498</v>
      </c>
      <c r="C175" s="145" t="s">
        <v>503</v>
      </c>
      <c r="D175" s="187" t="s">
        <v>268</v>
      </c>
      <c r="E175" s="294">
        <v>2</v>
      </c>
      <c r="F175" s="189" t="s">
        <v>504</v>
      </c>
      <c r="G175" s="244">
        <v>1780.0000000000005</v>
      </c>
      <c r="H175" s="298">
        <v>0</v>
      </c>
      <c r="I175" s="273">
        <f t="shared" si="4"/>
        <v>1780.0000000000005</v>
      </c>
      <c r="J175" s="120">
        <f t="shared" si="5"/>
        <v>0</v>
      </c>
    </row>
    <row r="176" spans="1:13" x14ac:dyDescent="0.25">
      <c r="A176" s="152" t="s">
        <v>234</v>
      </c>
      <c r="B176" s="186" t="s">
        <v>498</v>
      </c>
      <c r="C176" s="145" t="s">
        <v>505</v>
      </c>
      <c r="D176" s="187" t="s">
        <v>268</v>
      </c>
      <c r="E176" s="294">
        <v>2</v>
      </c>
      <c r="F176" s="189" t="s">
        <v>506</v>
      </c>
      <c r="G176" s="244">
        <v>4780</v>
      </c>
      <c r="H176" s="298">
        <v>3565.8</v>
      </c>
      <c r="I176" s="273">
        <f t="shared" si="4"/>
        <v>1214.1999999999998</v>
      </c>
      <c r="J176" s="120">
        <f t="shared" si="5"/>
        <v>0.74598326359832645</v>
      </c>
    </row>
    <row r="177" spans="1:13" x14ac:dyDescent="0.25">
      <c r="A177" s="152" t="s">
        <v>234</v>
      </c>
      <c r="B177" s="186" t="s">
        <v>498</v>
      </c>
      <c r="C177" s="145" t="s">
        <v>507</v>
      </c>
      <c r="D177" s="187" t="s">
        <v>268</v>
      </c>
      <c r="E177" s="294">
        <v>2</v>
      </c>
      <c r="F177" s="190" t="s">
        <v>508</v>
      </c>
      <c r="G177" s="252">
        <v>149.94</v>
      </c>
      <c r="H177" s="298">
        <v>182.41000000000003</v>
      </c>
      <c r="I177" s="273">
        <f t="shared" si="4"/>
        <v>-32.470000000000027</v>
      </c>
      <c r="J177" s="120">
        <f t="shared" si="5"/>
        <v>1.2165532879818597</v>
      </c>
    </row>
    <row r="178" spans="1:13" x14ac:dyDescent="0.25">
      <c r="A178" s="152" t="s">
        <v>227</v>
      </c>
      <c r="B178" s="186" t="s">
        <v>498</v>
      </c>
      <c r="C178" s="145" t="s">
        <v>509</v>
      </c>
      <c r="D178" s="145" t="s">
        <v>324</v>
      </c>
      <c r="E178" s="294">
        <v>2</v>
      </c>
      <c r="F178" s="191" t="s">
        <v>510</v>
      </c>
      <c r="G178" s="244">
        <v>295.45000000000005</v>
      </c>
      <c r="H178" s="298">
        <v>358.25000000000006</v>
      </c>
      <c r="I178" s="273">
        <f t="shared" si="4"/>
        <v>-62.800000000000011</v>
      </c>
      <c r="J178" s="120">
        <f t="shared" si="5"/>
        <v>1.2125571162633271</v>
      </c>
    </row>
    <row r="179" spans="1:13" x14ac:dyDescent="0.25">
      <c r="A179" s="152" t="s">
        <v>165</v>
      </c>
      <c r="B179" s="186" t="s">
        <v>498</v>
      </c>
      <c r="C179" s="145" t="s">
        <v>511</v>
      </c>
      <c r="D179" s="145" t="s">
        <v>211</v>
      </c>
      <c r="E179" s="289">
        <v>2</v>
      </c>
      <c r="F179" s="159" t="s">
        <v>512</v>
      </c>
      <c r="G179" s="251">
        <v>180</v>
      </c>
      <c r="H179" s="298">
        <v>190</v>
      </c>
      <c r="I179" s="273">
        <f t="shared" si="4"/>
        <v>-10</v>
      </c>
      <c r="J179" s="120">
        <f t="shared" si="5"/>
        <v>1.0555555555555556</v>
      </c>
    </row>
    <row r="180" spans="1:13" x14ac:dyDescent="0.25">
      <c r="A180" s="152" t="s">
        <v>166</v>
      </c>
      <c r="B180" s="186" t="s">
        <v>498</v>
      </c>
      <c r="C180" s="145" t="s">
        <v>513</v>
      </c>
      <c r="D180" s="145" t="s">
        <v>221</v>
      </c>
      <c r="E180" s="289">
        <v>2</v>
      </c>
      <c r="F180" s="159" t="s">
        <v>512</v>
      </c>
      <c r="G180" s="251">
        <v>378</v>
      </c>
      <c r="H180" s="298">
        <v>454</v>
      </c>
      <c r="I180" s="273">
        <f t="shared" si="4"/>
        <v>-76</v>
      </c>
      <c r="J180" s="120">
        <f t="shared" si="5"/>
        <v>1.2010582010582012</v>
      </c>
    </row>
    <row r="181" spans="1:13" x14ac:dyDescent="0.25">
      <c r="A181" s="164" t="s">
        <v>166</v>
      </c>
      <c r="B181" s="186" t="s">
        <v>498</v>
      </c>
      <c r="C181" s="165" t="s">
        <v>514</v>
      </c>
      <c r="D181" s="165" t="s">
        <v>221</v>
      </c>
      <c r="E181" s="289">
        <v>2</v>
      </c>
      <c r="F181" s="185" t="s">
        <v>515</v>
      </c>
      <c r="G181" s="253">
        <v>270</v>
      </c>
      <c r="H181" s="279">
        <v>266</v>
      </c>
      <c r="I181" s="273">
        <f t="shared" si="4"/>
        <v>4</v>
      </c>
      <c r="J181" s="120">
        <f t="shared" si="5"/>
        <v>0.98518518518518516</v>
      </c>
    </row>
    <row r="182" spans="1:13" x14ac:dyDescent="0.25">
      <c r="A182" s="162"/>
      <c r="B182" s="163" t="s">
        <v>516</v>
      </c>
      <c r="C182" s="163"/>
      <c r="D182" s="163"/>
      <c r="E182" s="163"/>
      <c r="F182" s="163"/>
      <c r="G182" s="243">
        <f>SUM(G183:G194)</f>
        <v>25707.999999999964</v>
      </c>
      <c r="H182" s="243">
        <f>SUM(H183:H194)</f>
        <v>21085.280000000002</v>
      </c>
      <c r="I182" s="273">
        <f t="shared" si="4"/>
        <v>4622.7199999999611</v>
      </c>
      <c r="J182" s="120">
        <f t="shared" si="5"/>
        <v>0.8201836004356633</v>
      </c>
      <c r="L182" s="283">
        <f>G182/G288</f>
        <v>2.0566400131625199E-2</v>
      </c>
      <c r="M182" s="284">
        <f>H182/H288</f>
        <v>1.8237512596917742E-2</v>
      </c>
    </row>
    <row r="183" spans="1:13" x14ac:dyDescent="0.25">
      <c r="A183" s="164" t="s">
        <v>234</v>
      </c>
      <c r="B183" s="144" t="s">
        <v>209</v>
      </c>
      <c r="C183" s="165" t="s">
        <v>517</v>
      </c>
      <c r="D183" s="192" t="s">
        <v>236</v>
      </c>
      <c r="E183" s="293">
        <v>3</v>
      </c>
      <c r="F183" s="193" t="s">
        <v>518</v>
      </c>
      <c r="G183" s="247">
        <v>5450</v>
      </c>
      <c r="H183" s="279">
        <v>5125</v>
      </c>
      <c r="I183" s="273">
        <f t="shared" si="4"/>
        <v>325</v>
      </c>
      <c r="J183" s="120">
        <f t="shared" si="5"/>
        <v>0.94036697247706424</v>
      </c>
    </row>
    <row r="184" spans="1:13" x14ac:dyDescent="0.25">
      <c r="A184" s="164" t="s">
        <v>234</v>
      </c>
      <c r="B184" s="144" t="s">
        <v>209</v>
      </c>
      <c r="C184" s="165" t="s">
        <v>519</v>
      </c>
      <c r="D184" s="192" t="s">
        <v>236</v>
      </c>
      <c r="E184" s="293">
        <v>3</v>
      </c>
      <c r="F184" s="193" t="s">
        <v>520</v>
      </c>
      <c r="G184" s="244">
        <v>320</v>
      </c>
      <c r="H184" s="279">
        <v>284.97000000000003</v>
      </c>
      <c r="I184" s="273">
        <f t="shared" si="4"/>
        <v>35.029999999999973</v>
      </c>
      <c r="J184" s="120">
        <f t="shared" si="5"/>
        <v>0.89053125000000011</v>
      </c>
    </row>
    <row r="185" spans="1:13" x14ac:dyDescent="0.25">
      <c r="A185" s="164" t="s">
        <v>234</v>
      </c>
      <c r="B185" s="186" t="s">
        <v>498</v>
      </c>
      <c r="C185" s="165" t="s">
        <v>521</v>
      </c>
      <c r="D185" s="192" t="s">
        <v>236</v>
      </c>
      <c r="E185" s="293">
        <v>3</v>
      </c>
      <c r="F185" s="193" t="s">
        <v>522</v>
      </c>
      <c r="G185" s="244">
        <v>500</v>
      </c>
      <c r="H185" s="279">
        <v>428</v>
      </c>
      <c r="I185" s="273">
        <f t="shared" si="4"/>
        <v>72</v>
      </c>
      <c r="J185" s="120">
        <f t="shared" si="5"/>
        <v>0.85599999999999998</v>
      </c>
    </row>
    <row r="186" spans="1:13" x14ac:dyDescent="0.25">
      <c r="A186" s="152" t="s">
        <v>234</v>
      </c>
      <c r="B186" s="144" t="s">
        <v>209</v>
      </c>
      <c r="C186" s="145" t="s">
        <v>523</v>
      </c>
      <c r="D186" s="187" t="s">
        <v>236</v>
      </c>
      <c r="E186" s="293">
        <v>3</v>
      </c>
      <c r="F186" s="188" t="s">
        <v>524</v>
      </c>
      <c r="G186" s="244">
        <v>16149.999999999962</v>
      </c>
      <c r="H186" s="298">
        <v>12387.04</v>
      </c>
      <c r="I186" s="273">
        <f t="shared" si="4"/>
        <v>3762.9599999999609</v>
      </c>
      <c r="J186" s="120">
        <f t="shared" si="5"/>
        <v>0.76699938080495544</v>
      </c>
    </row>
    <row r="187" spans="1:13" x14ac:dyDescent="0.25">
      <c r="A187" s="152" t="s">
        <v>227</v>
      </c>
      <c r="B187" s="186" t="s">
        <v>498</v>
      </c>
      <c r="C187" s="145" t="s">
        <v>525</v>
      </c>
      <c r="D187" s="145" t="s">
        <v>229</v>
      </c>
      <c r="E187" s="294">
        <v>3</v>
      </c>
      <c r="F187" s="191" t="s">
        <v>526</v>
      </c>
      <c r="G187" s="244">
        <v>710</v>
      </c>
      <c r="H187" s="298">
        <v>222</v>
      </c>
      <c r="I187" s="273">
        <f t="shared" si="4"/>
        <v>488</v>
      </c>
      <c r="J187" s="120">
        <f t="shared" si="5"/>
        <v>0.3126760563380282</v>
      </c>
    </row>
    <row r="188" spans="1:13" x14ac:dyDescent="0.25">
      <c r="A188" s="164" t="s">
        <v>227</v>
      </c>
      <c r="B188" s="186" t="s">
        <v>498</v>
      </c>
      <c r="C188" s="165" t="s">
        <v>527</v>
      </c>
      <c r="D188" s="165" t="s">
        <v>229</v>
      </c>
      <c r="E188" s="294">
        <v>3</v>
      </c>
      <c r="F188" s="194" t="s">
        <v>518</v>
      </c>
      <c r="G188" s="244">
        <v>520</v>
      </c>
      <c r="H188" s="279">
        <v>619.75</v>
      </c>
      <c r="I188" s="273">
        <f t="shared" si="4"/>
        <v>-99.75</v>
      </c>
      <c r="J188" s="120">
        <f t="shared" si="5"/>
        <v>1.1918269230769232</v>
      </c>
    </row>
    <row r="189" spans="1:13" x14ac:dyDescent="0.25">
      <c r="A189" s="164" t="s">
        <v>227</v>
      </c>
      <c r="B189" s="186" t="s">
        <v>498</v>
      </c>
      <c r="C189" s="165" t="s">
        <v>528</v>
      </c>
      <c r="D189" s="165" t="s">
        <v>229</v>
      </c>
      <c r="E189" s="294">
        <v>3</v>
      </c>
      <c r="F189" s="194" t="s">
        <v>520</v>
      </c>
      <c r="G189" s="245">
        <v>60</v>
      </c>
      <c r="H189" s="279">
        <v>180</v>
      </c>
      <c r="I189" s="273">
        <f t="shared" si="4"/>
        <v>-120</v>
      </c>
      <c r="J189" s="120">
        <f t="shared" si="5"/>
        <v>3</v>
      </c>
    </row>
    <row r="190" spans="1:13" x14ac:dyDescent="0.25">
      <c r="A190" s="152" t="s">
        <v>165</v>
      </c>
      <c r="B190" s="186" t="s">
        <v>498</v>
      </c>
      <c r="C190" s="145" t="s">
        <v>529</v>
      </c>
      <c r="D190" s="145" t="s">
        <v>530</v>
      </c>
      <c r="E190" s="289">
        <v>3</v>
      </c>
      <c r="F190" s="159" t="s">
        <v>531</v>
      </c>
      <c r="G190" s="251">
        <v>864</v>
      </c>
      <c r="H190" s="298">
        <v>672</v>
      </c>
      <c r="I190" s="273">
        <f t="shared" si="4"/>
        <v>192</v>
      </c>
      <c r="J190" s="120">
        <f t="shared" si="5"/>
        <v>0.77777777777777779</v>
      </c>
    </row>
    <row r="191" spans="1:13" x14ac:dyDescent="0.25">
      <c r="A191" s="164" t="s">
        <v>165</v>
      </c>
      <c r="B191" s="186" t="s">
        <v>498</v>
      </c>
      <c r="C191" s="165" t="s">
        <v>532</v>
      </c>
      <c r="D191" s="165" t="s">
        <v>530</v>
      </c>
      <c r="E191" s="289">
        <v>3</v>
      </c>
      <c r="F191" s="185" t="s">
        <v>533</v>
      </c>
      <c r="G191" s="253">
        <v>216</v>
      </c>
      <c r="H191" s="279">
        <v>228</v>
      </c>
      <c r="I191" s="273">
        <f t="shared" si="4"/>
        <v>-12</v>
      </c>
      <c r="J191" s="120">
        <f t="shared" si="5"/>
        <v>1.0555555555555556</v>
      </c>
    </row>
    <row r="192" spans="1:13" x14ac:dyDescent="0.25">
      <c r="A192" s="152" t="s">
        <v>166</v>
      </c>
      <c r="B192" s="186" t="s">
        <v>498</v>
      </c>
      <c r="C192" s="145" t="s">
        <v>534</v>
      </c>
      <c r="D192" s="145" t="s">
        <v>535</v>
      </c>
      <c r="E192" s="289">
        <v>3</v>
      </c>
      <c r="F192" s="159" t="s">
        <v>536</v>
      </c>
      <c r="G192" s="251">
        <v>432</v>
      </c>
      <c r="H192" s="298">
        <v>515.18000000000006</v>
      </c>
      <c r="I192" s="273">
        <f t="shared" si="4"/>
        <v>-83.180000000000064</v>
      </c>
      <c r="J192" s="120">
        <f t="shared" si="5"/>
        <v>1.1925462962962965</v>
      </c>
    </row>
    <row r="193" spans="1:13" x14ac:dyDescent="0.25">
      <c r="A193" s="152" t="s">
        <v>166</v>
      </c>
      <c r="B193" s="186" t="s">
        <v>498</v>
      </c>
      <c r="C193" s="145" t="s">
        <v>537</v>
      </c>
      <c r="D193" s="145" t="s">
        <v>535</v>
      </c>
      <c r="E193" s="289">
        <v>3</v>
      </c>
      <c r="F193" s="159" t="s">
        <v>538</v>
      </c>
      <c r="G193" s="251">
        <v>216</v>
      </c>
      <c r="H193" s="298">
        <v>181.34</v>
      </c>
      <c r="I193" s="273">
        <f t="shared" si="4"/>
        <v>34.659999999999997</v>
      </c>
      <c r="J193" s="120">
        <f t="shared" si="5"/>
        <v>0.83953703703703708</v>
      </c>
    </row>
    <row r="194" spans="1:13" x14ac:dyDescent="0.25">
      <c r="A194" s="164" t="s">
        <v>166</v>
      </c>
      <c r="B194" s="186" t="s">
        <v>498</v>
      </c>
      <c r="C194" s="165" t="s">
        <v>539</v>
      </c>
      <c r="D194" s="165" t="s">
        <v>535</v>
      </c>
      <c r="E194" s="289">
        <v>3</v>
      </c>
      <c r="F194" s="185" t="s">
        <v>533</v>
      </c>
      <c r="G194" s="253">
        <v>270</v>
      </c>
      <c r="H194" s="279">
        <v>242</v>
      </c>
      <c r="I194" s="273">
        <f t="shared" si="4"/>
        <v>28</v>
      </c>
      <c r="J194" s="120">
        <f t="shared" si="5"/>
        <v>0.89629629629629626</v>
      </c>
    </row>
    <row r="195" spans="1:13" x14ac:dyDescent="0.25">
      <c r="A195" s="162"/>
      <c r="B195" s="163" t="s">
        <v>540</v>
      </c>
      <c r="C195" s="163"/>
      <c r="D195" s="163"/>
      <c r="E195" s="163"/>
      <c r="F195" s="163"/>
      <c r="G195" s="243">
        <f>SUM(G196:G217)</f>
        <v>51882.7</v>
      </c>
      <c r="H195" s="243">
        <f>SUM(H196:H217)</f>
        <v>50648.700000000004</v>
      </c>
      <c r="I195" s="273">
        <f t="shared" ref="I195:I258" si="6">G195-H195</f>
        <v>1233.9999999999927</v>
      </c>
      <c r="J195" s="120">
        <f t="shared" ref="J195:J258" si="7">H195/G195</f>
        <v>0.97621557860327257</v>
      </c>
      <c r="L195" s="283">
        <f>G195/G288</f>
        <v>4.1506160265639962E-2</v>
      </c>
      <c r="M195" s="284">
        <f>H195/H288</f>
        <v>4.3808111832876188E-2</v>
      </c>
    </row>
    <row r="196" spans="1:13" x14ac:dyDescent="0.25">
      <c r="A196" s="164" t="s">
        <v>234</v>
      </c>
      <c r="B196" s="186" t="s">
        <v>498</v>
      </c>
      <c r="C196" s="165" t="s">
        <v>541</v>
      </c>
      <c r="D196" s="192" t="s">
        <v>542</v>
      </c>
      <c r="E196" s="293">
        <v>4</v>
      </c>
      <c r="F196" s="195" t="s">
        <v>543</v>
      </c>
      <c r="G196" s="244">
        <v>3500.0000000000018</v>
      </c>
      <c r="H196" s="279">
        <v>3970.99</v>
      </c>
      <c r="I196" s="273">
        <f t="shared" si="6"/>
        <v>-470.98999999999796</v>
      </c>
      <c r="J196" s="120">
        <f t="shared" si="7"/>
        <v>1.1345685714285707</v>
      </c>
    </row>
    <row r="197" spans="1:13" x14ac:dyDescent="0.25">
      <c r="A197" s="164" t="s">
        <v>234</v>
      </c>
      <c r="B197" s="186" t="s">
        <v>498</v>
      </c>
      <c r="C197" s="165" t="s">
        <v>544</v>
      </c>
      <c r="D197" s="192" t="s">
        <v>542</v>
      </c>
      <c r="E197" s="293">
        <v>4</v>
      </c>
      <c r="F197" s="195" t="s">
        <v>545</v>
      </c>
      <c r="G197" s="247">
        <v>3300</v>
      </c>
      <c r="H197" s="279">
        <v>2016.32</v>
      </c>
      <c r="I197" s="273">
        <f t="shared" si="6"/>
        <v>1283.68</v>
      </c>
      <c r="J197" s="120">
        <f t="shared" si="7"/>
        <v>0.61100606060606055</v>
      </c>
    </row>
    <row r="198" spans="1:13" x14ac:dyDescent="0.25">
      <c r="A198" s="164" t="s">
        <v>234</v>
      </c>
      <c r="B198" s="186" t="s">
        <v>498</v>
      </c>
      <c r="C198" s="165" t="s">
        <v>546</v>
      </c>
      <c r="D198" s="192" t="s">
        <v>542</v>
      </c>
      <c r="E198" s="293">
        <v>4</v>
      </c>
      <c r="F198" s="195" t="s">
        <v>547</v>
      </c>
      <c r="G198" s="244">
        <v>0</v>
      </c>
      <c r="H198" s="279">
        <v>0</v>
      </c>
      <c r="I198" s="273">
        <f t="shared" si="6"/>
        <v>0</v>
      </c>
      <c r="J198" s="120" t="e">
        <f t="shared" si="7"/>
        <v>#DIV/0!</v>
      </c>
    </row>
    <row r="199" spans="1:13" x14ac:dyDescent="0.25">
      <c r="A199" s="164" t="s">
        <v>234</v>
      </c>
      <c r="B199" s="186" t="s">
        <v>498</v>
      </c>
      <c r="C199" s="165" t="s">
        <v>548</v>
      </c>
      <c r="D199" s="192" t="s">
        <v>542</v>
      </c>
      <c r="E199" s="293">
        <v>4</v>
      </c>
      <c r="F199" s="195" t="s">
        <v>549</v>
      </c>
      <c r="G199" s="244">
        <v>6200</v>
      </c>
      <c r="H199" s="279">
        <v>5839.3900000000012</v>
      </c>
      <c r="I199" s="273">
        <f t="shared" si="6"/>
        <v>360.60999999999876</v>
      </c>
      <c r="J199" s="120">
        <f t="shared" si="7"/>
        <v>0.94183709677419369</v>
      </c>
    </row>
    <row r="200" spans="1:13" x14ac:dyDescent="0.25">
      <c r="A200" s="164" t="s">
        <v>234</v>
      </c>
      <c r="B200" s="186" t="s">
        <v>498</v>
      </c>
      <c r="C200" s="165" t="s">
        <v>550</v>
      </c>
      <c r="D200" s="192" t="s">
        <v>542</v>
      </c>
      <c r="E200" s="293">
        <v>4</v>
      </c>
      <c r="F200" s="195" t="s">
        <v>551</v>
      </c>
      <c r="G200" s="244">
        <v>3000</v>
      </c>
      <c r="H200" s="279">
        <v>2851.8199999999997</v>
      </c>
      <c r="I200" s="273">
        <f t="shared" si="6"/>
        <v>148.18000000000029</v>
      </c>
      <c r="J200" s="120">
        <f t="shared" si="7"/>
        <v>0.9506066666666666</v>
      </c>
    </row>
    <row r="201" spans="1:13" x14ac:dyDescent="0.25">
      <c r="A201" s="164" t="s">
        <v>234</v>
      </c>
      <c r="B201" s="186" t="s">
        <v>498</v>
      </c>
      <c r="C201" s="165" t="s">
        <v>552</v>
      </c>
      <c r="D201" s="192" t="s">
        <v>542</v>
      </c>
      <c r="E201" s="293">
        <v>4</v>
      </c>
      <c r="F201" s="195" t="s">
        <v>553</v>
      </c>
      <c r="G201" s="247">
        <v>0</v>
      </c>
      <c r="H201" s="279">
        <v>0</v>
      </c>
      <c r="I201" s="273">
        <f t="shared" si="6"/>
        <v>0</v>
      </c>
      <c r="J201" s="120" t="e">
        <f t="shared" si="7"/>
        <v>#DIV/0!</v>
      </c>
    </row>
    <row r="202" spans="1:13" x14ac:dyDescent="0.25">
      <c r="A202" s="164" t="s">
        <v>234</v>
      </c>
      <c r="B202" s="186" t="s">
        <v>498</v>
      </c>
      <c r="C202" s="165" t="s">
        <v>554</v>
      </c>
      <c r="D202" s="192" t="s">
        <v>542</v>
      </c>
      <c r="E202" s="293">
        <v>4</v>
      </c>
      <c r="F202" s="195" t="s">
        <v>555</v>
      </c>
      <c r="G202" s="244">
        <v>8240</v>
      </c>
      <c r="H202" s="279">
        <v>6934.2999999999993</v>
      </c>
      <c r="I202" s="273">
        <f t="shared" si="6"/>
        <v>1305.7000000000007</v>
      </c>
      <c r="J202" s="120">
        <f t="shared" si="7"/>
        <v>0.84154126213592229</v>
      </c>
    </row>
    <row r="203" spans="1:13" x14ac:dyDescent="0.25">
      <c r="A203" s="164" t="s">
        <v>234</v>
      </c>
      <c r="B203" s="186" t="s">
        <v>498</v>
      </c>
      <c r="C203" s="165" t="s">
        <v>556</v>
      </c>
      <c r="D203" s="192" t="s">
        <v>542</v>
      </c>
      <c r="E203" s="293">
        <v>4</v>
      </c>
      <c r="F203" s="195" t="s">
        <v>557</v>
      </c>
      <c r="G203" s="244">
        <v>3000</v>
      </c>
      <c r="H203" s="279">
        <v>2351.66</v>
      </c>
      <c r="I203" s="273">
        <f t="shared" si="6"/>
        <v>648.34000000000015</v>
      </c>
      <c r="J203" s="120">
        <f t="shared" si="7"/>
        <v>0.78388666666666662</v>
      </c>
    </row>
    <row r="204" spans="1:13" x14ac:dyDescent="0.25">
      <c r="A204" s="164" t="s">
        <v>234</v>
      </c>
      <c r="B204" s="186" t="s">
        <v>498</v>
      </c>
      <c r="C204" s="165" t="s">
        <v>558</v>
      </c>
      <c r="D204" s="192" t="s">
        <v>542</v>
      </c>
      <c r="E204" s="293">
        <v>4</v>
      </c>
      <c r="F204" s="195" t="s">
        <v>559</v>
      </c>
      <c r="G204" s="244">
        <v>2400</v>
      </c>
      <c r="H204" s="279">
        <v>4460</v>
      </c>
      <c r="I204" s="273">
        <f t="shared" si="6"/>
        <v>-2060</v>
      </c>
      <c r="J204" s="120">
        <f t="shared" si="7"/>
        <v>1.8583333333333334</v>
      </c>
    </row>
    <row r="205" spans="1:13" x14ac:dyDescent="0.25">
      <c r="A205" s="152" t="s">
        <v>234</v>
      </c>
      <c r="B205" s="186" t="s">
        <v>498</v>
      </c>
      <c r="C205" s="145" t="s">
        <v>560</v>
      </c>
      <c r="D205" s="187" t="s">
        <v>542</v>
      </c>
      <c r="E205" s="293">
        <v>4</v>
      </c>
      <c r="F205" s="196" t="s">
        <v>561</v>
      </c>
      <c r="G205" s="244">
        <v>99.999999999999545</v>
      </c>
      <c r="H205" s="279">
        <v>28.5</v>
      </c>
      <c r="I205" s="273">
        <f t="shared" si="6"/>
        <v>71.499999999999545</v>
      </c>
      <c r="J205" s="120">
        <f t="shared" si="7"/>
        <v>0.28500000000000131</v>
      </c>
    </row>
    <row r="206" spans="1:13" x14ac:dyDescent="0.25">
      <c r="A206" s="164" t="s">
        <v>234</v>
      </c>
      <c r="B206" s="186" t="s">
        <v>498</v>
      </c>
      <c r="C206" s="165" t="s">
        <v>562</v>
      </c>
      <c r="D206" s="192" t="s">
        <v>542</v>
      </c>
      <c r="E206" s="293">
        <v>4</v>
      </c>
      <c r="F206" s="195" t="s">
        <v>563</v>
      </c>
      <c r="G206" s="247">
        <v>1350</v>
      </c>
      <c r="H206" s="279">
        <v>1104.1600000000001</v>
      </c>
      <c r="I206" s="273">
        <f t="shared" si="6"/>
        <v>245.83999999999992</v>
      </c>
      <c r="J206" s="120">
        <f t="shared" si="7"/>
        <v>0.81789629629629634</v>
      </c>
    </row>
    <row r="207" spans="1:13" x14ac:dyDescent="0.25">
      <c r="A207" s="164" t="s">
        <v>234</v>
      </c>
      <c r="B207" s="186" t="s">
        <v>498</v>
      </c>
      <c r="C207" s="165" t="s">
        <v>564</v>
      </c>
      <c r="D207" s="192" t="s">
        <v>542</v>
      </c>
      <c r="E207" s="293">
        <v>4</v>
      </c>
      <c r="F207" s="190" t="s">
        <v>565</v>
      </c>
      <c r="G207" s="252">
        <v>720</v>
      </c>
      <c r="H207" s="279">
        <v>832.98</v>
      </c>
      <c r="I207" s="273">
        <f t="shared" si="6"/>
        <v>-112.98000000000002</v>
      </c>
      <c r="J207" s="120">
        <f t="shared" si="7"/>
        <v>1.1569166666666666</v>
      </c>
    </row>
    <row r="208" spans="1:13" x14ac:dyDescent="0.25">
      <c r="A208" s="164" t="s">
        <v>227</v>
      </c>
      <c r="B208" s="186" t="s">
        <v>498</v>
      </c>
      <c r="C208" s="165" t="s">
        <v>566</v>
      </c>
      <c r="D208" s="165" t="s">
        <v>567</v>
      </c>
      <c r="E208" s="294">
        <v>4</v>
      </c>
      <c r="F208" s="194" t="s">
        <v>568</v>
      </c>
      <c r="G208" s="245">
        <v>10800</v>
      </c>
      <c r="H208" s="279">
        <v>10918.890000000001</v>
      </c>
      <c r="I208" s="273">
        <f t="shared" si="6"/>
        <v>-118.89000000000124</v>
      </c>
      <c r="J208" s="120">
        <f t="shared" si="7"/>
        <v>1.0110083333333335</v>
      </c>
    </row>
    <row r="209" spans="1:13" x14ac:dyDescent="0.25">
      <c r="A209" s="164" t="s">
        <v>227</v>
      </c>
      <c r="B209" s="186" t="s">
        <v>498</v>
      </c>
      <c r="C209" s="165" t="s">
        <v>569</v>
      </c>
      <c r="D209" s="165" t="s">
        <v>567</v>
      </c>
      <c r="E209" s="294">
        <v>4</v>
      </c>
      <c r="F209" s="194" t="s">
        <v>570</v>
      </c>
      <c r="G209" s="244">
        <v>4923</v>
      </c>
      <c r="H209" s="279">
        <v>4923</v>
      </c>
      <c r="I209" s="273">
        <f t="shared" si="6"/>
        <v>0</v>
      </c>
      <c r="J209" s="120">
        <f t="shared" si="7"/>
        <v>1</v>
      </c>
    </row>
    <row r="210" spans="1:13" x14ac:dyDescent="0.25">
      <c r="A210" s="164" t="s">
        <v>227</v>
      </c>
      <c r="B210" s="186" t="s">
        <v>498</v>
      </c>
      <c r="C210" s="165" t="s">
        <v>571</v>
      </c>
      <c r="D210" s="165" t="s">
        <v>567</v>
      </c>
      <c r="E210" s="294">
        <v>4</v>
      </c>
      <c r="F210" s="194" t="s">
        <v>572</v>
      </c>
      <c r="G210" s="244">
        <v>1654.2</v>
      </c>
      <c r="H210" s="279">
        <v>1157.7600000000002</v>
      </c>
      <c r="I210" s="273">
        <f t="shared" si="6"/>
        <v>496.43999999999983</v>
      </c>
      <c r="J210" s="120">
        <f t="shared" si="7"/>
        <v>0.69989118607181733</v>
      </c>
    </row>
    <row r="211" spans="1:13" x14ac:dyDescent="0.25">
      <c r="A211" s="164" t="s">
        <v>165</v>
      </c>
      <c r="B211" s="186" t="s">
        <v>498</v>
      </c>
      <c r="C211" s="165" t="s">
        <v>573</v>
      </c>
      <c r="D211" s="165" t="s">
        <v>216</v>
      </c>
      <c r="E211" s="289">
        <v>4</v>
      </c>
      <c r="F211" s="185" t="s">
        <v>568</v>
      </c>
      <c r="G211" s="253">
        <v>450</v>
      </c>
      <c r="H211" s="279">
        <v>619</v>
      </c>
      <c r="I211" s="273">
        <f t="shared" si="6"/>
        <v>-169</v>
      </c>
      <c r="J211" s="120">
        <f t="shared" si="7"/>
        <v>1.3755555555555556</v>
      </c>
    </row>
    <row r="212" spans="1:13" x14ac:dyDescent="0.25">
      <c r="A212" s="164" t="s">
        <v>165</v>
      </c>
      <c r="B212" s="186" t="s">
        <v>498</v>
      </c>
      <c r="C212" s="165" t="s">
        <v>574</v>
      </c>
      <c r="D212" s="165" t="s">
        <v>216</v>
      </c>
      <c r="E212" s="289">
        <v>4</v>
      </c>
      <c r="F212" s="185" t="s">
        <v>570</v>
      </c>
      <c r="G212" s="253">
        <v>288</v>
      </c>
      <c r="H212" s="279">
        <v>288</v>
      </c>
      <c r="I212" s="273">
        <f t="shared" si="6"/>
        <v>0</v>
      </c>
      <c r="J212" s="120">
        <f t="shared" si="7"/>
        <v>1</v>
      </c>
    </row>
    <row r="213" spans="1:13" x14ac:dyDescent="0.25">
      <c r="A213" s="164" t="s">
        <v>165</v>
      </c>
      <c r="B213" s="186" t="s">
        <v>498</v>
      </c>
      <c r="C213" s="165" t="s">
        <v>575</v>
      </c>
      <c r="D213" s="165" t="s">
        <v>216</v>
      </c>
      <c r="E213" s="289">
        <v>4</v>
      </c>
      <c r="F213" s="185" t="s">
        <v>576</v>
      </c>
      <c r="G213" s="253">
        <v>360</v>
      </c>
      <c r="H213" s="279">
        <v>384.4</v>
      </c>
      <c r="I213" s="273">
        <f t="shared" si="6"/>
        <v>-24.399999999999977</v>
      </c>
      <c r="J213" s="120">
        <f t="shared" si="7"/>
        <v>1.0677777777777777</v>
      </c>
    </row>
    <row r="214" spans="1:13" x14ac:dyDescent="0.25">
      <c r="A214" s="164" t="s">
        <v>166</v>
      </c>
      <c r="B214" s="186" t="s">
        <v>498</v>
      </c>
      <c r="C214" s="165" t="s">
        <v>577</v>
      </c>
      <c r="D214" s="165" t="s">
        <v>224</v>
      </c>
      <c r="E214" s="289">
        <v>4</v>
      </c>
      <c r="F214" s="185" t="s">
        <v>568</v>
      </c>
      <c r="G214" s="253">
        <v>450</v>
      </c>
      <c r="H214" s="279">
        <v>799</v>
      </c>
      <c r="I214" s="273">
        <f t="shared" si="6"/>
        <v>-349</v>
      </c>
      <c r="J214" s="120">
        <f t="shared" si="7"/>
        <v>1.7755555555555556</v>
      </c>
    </row>
    <row r="215" spans="1:13" x14ac:dyDescent="0.25">
      <c r="A215" s="164" t="s">
        <v>166</v>
      </c>
      <c r="B215" s="186" t="s">
        <v>498</v>
      </c>
      <c r="C215" s="165" t="s">
        <v>578</v>
      </c>
      <c r="D215" s="165" t="s">
        <v>224</v>
      </c>
      <c r="E215" s="289">
        <v>4</v>
      </c>
      <c r="F215" s="185" t="s">
        <v>579</v>
      </c>
      <c r="G215" s="253">
        <v>337.5</v>
      </c>
      <c r="H215" s="279">
        <v>386.53000000000003</v>
      </c>
      <c r="I215" s="273">
        <f t="shared" si="6"/>
        <v>-49.03000000000003</v>
      </c>
      <c r="J215" s="120">
        <f t="shared" si="7"/>
        <v>1.1452740740740741</v>
      </c>
    </row>
    <row r="216" spans="1:13" x14ac:dyDescent="0.25">
      <c r="A216" s="164" t="s">
        <v>166</v>
      </c>
      <c r="B216" s="186" t="s">
        <v>498</v>
      </c>
      <c r="C216" s="165" t="s">
        <v>580</v>
      </c>
      <c r="D216" s="165" t="s">
        <v>224</v>
      </c>
      <c r="E216" s="289">
        <v>4</v>
      </c>
      <c r="F216" s="185" t="s">
        <v>570</v>
      </c>
      <c r="G216" s="253">
        <v>360</v>
      </c>
      <c r="H216" s="279">
        <v>342</v>
      </c>
      <c r="I216" s="273">
        <f t="shared" si="6"/>
        <v>18</v>
      </c>
      <c r="J216" s="120">
        <f t="shared" si="7"/>
        <v>0.95</v>
      </c>
    </row>
    <row r="217" spans="1:13" x14ac:dyDescent="0.25">
      <c r="A217" s="164" t="s">
        <v>166</v>
      </c>
      <c r="B217" s="186" t="s">
        <v>498</v>
      </c>
      <c r="C217" s="165" t="s">
        <v>581</v>
      </c>
      <c r="D217" s="165" t="s">
        <v>224</v>
      </c>
      <c r="E217" s="289">
        <v>4</v>
      </c>
      <c r="F217" s="185" t="s">
        <v>576</v>
      </c>
      <c r="G217" s="253">
        <v>450</v>
      </c>
      <c r="H217" s="279">
        <v>440</v>
      </c>
      <c r="I217" s="273">
        <f t="shared" si="6"/>
        <v>10</v>
      </c>
      <c r="J217" s="120">
        <f t="shared" si="7"/>
        <v>0.97777777777777775</v>
      </c>
    </row>
    <row r="218" spans="1:13" x14ac:dyDescent="0.25">
      <c r="A218" s="162"/>
      <c r="B218" s="163" t="s">
        <v>582</v>
      </c>
      <c r="C218" s="163"/>
      <c r="D218" s="163"/>
      <c r="E218" s="163"/>
      <c r="F218" s="163"/>
      <c r="G218" s="243">
        <f>SUM(G219:G227)</f>
        <v>42058</v>
      </c>
      <c r="H218" s="243">
        <f>SUM(H219:H227)</f>
        <v>38866.990000000005</v>
      </c>
      <c r="I218" s="273">
        <f t="shared" si="6"/>
        <v>3191.0099999999948</v>
      </c>
      <c r="J218" s="120">
        <f t="shared" si="7"/>
        <v>0.92412834656902387</v>
      </c>
      <c r="L218" s="283">
        <f>G218/G288</f>
        <v>3.3646400215337401E-2</v>
      </c>
      <c r="M218" s="284">
        <f>H218/H288</f>
        <v>3.3617633710781927E-2</v>
      </c>
    </row>
    <row r="219" spans="1:13" x14ac:dyDescent="0.25">
      <c r="A219" s="152" t="s">
        <v>234</v>
      </c>
      <c r="B219" s="186" t="s">
        <v>498</v>
      </c>
      <c r="C219" s="145" t="s">
        <v>583</v>
      </c>
      <c r="D219" s="187" t="s">
        <v>239</v>
      </c>
      <c r="E219" s="293">
        <v>5</v>
      </c>
      <c r="F219" s="196" t="s">
        <v>584</v>
      </c>
      <c r="G219" s="244">
        <v>3780</v>
      </c>
      <c r="H219" s="298">
        <v>2820.21</v>
      </c>
      <c r="I219" s="273">
        <f t="shared" si="6"/>
        <v>959.79</v>
      </c>
      <c r="J219" s="120">
        <f t="shared" si="7"/>
        <v>0.74608730158730163</v>
      </c>
    </row>
    <row r="220" spans="1:13" x14ac:dyDescent="0.25">
      <c r="A220" s="152" t="s">
        <v>234</v>
      </c>
      <c r="B220" s="186" t="s">
        <v>498</v>
      </c>
      <c r="C220" s="145" t="s">
        <v>585</v>
      </c>
      <c r="D220" s="187" t="s">
        <v>239</v>
      </c>
      <c r="E220" s="293">
        <v>5</v>
      </c>
      <c r="F220" s="196" t="s">
        <v>586</v>
      </c>
      <c r="G220" s="244">
        <v>3300</v>
      </c>
      <c r="H220" s="298">
        <v>4309.8999999999996</v>
      </c>
      <c r="I220" s="273">
        <f t="shared" si="6"/>
        <v>-1009.8999999999996</v>
      </c>
      <c r="J220" s="120">
        <f t="shared" si="7"/>
        <v>1.3060303030303029</v>
      </c>
    </row>
    <row r="221" spans="1:13" x14ac:dyDescent="0.25">
      <c r="A221" s="152" t="s">
        <v>234</v>
      </c>
      <c r="B221" s="186" t="s">
        <v>498</v>
      </c>
      <c r="C221" s="145" t="s">
        <v>587</v>
      </c>
      <c r="D221" s="187" t="s">
        <v>239</v>
      </c>
      <c r="E221" s="293">
        <v>5</v>
      </c>
      <c r="F221" s="196" t="s">
        <v>588</v>
      </c>
      <c r="G221" s="244">
        <v>6100</v>
      </c>
      <c r="H221" s="298">
        <v>6524.3600000000006</v>
      </c>
      <c r="I221" s="273">
        <f t="shared" si="6"/>
        <v>-424.36000000000058</v>
      </c>
      <c r="J221" s="120">
        <f t="shared" si="7"/>
        <v>1.0695672131147542</v>
      </c>
    </row>
    <row r="222" spans="1:13" x14ac:dyDescent="0.25">
      <c r="A222" s="152" t="s">
        <v>234</v>
      </c>
      <c r="B222" s="186" t="s">
        <v>498</v>
      </c>
      <c r="C222" s="145" t="s">
        <v>589</v>
      </c>
      <c r="D222" s="187" t="s">
        <v>239</v>
      </c>
      <c r="E222" s="293">
        <v>5</v>
      </c>
      <c r="F222" s="190" t="s">
        <v>590</v>
      </c>
      <c r="G222" s="252">
        <v>3120</v>
      </c>
      <c r="H222" s="298">
        <v>2682.5200000000004</v>
      </c>
      <c r="I222" s="273">
        <f t="shared" si="6"/>
        <v>437.47999999999956</v>
      </c>
      <c r="J222" s="120">
        <f t="shared" si="7"/>
        <v>0.85978205128205143</v>
      </c>
    </row>
    <row r="223" spans="1:13" x14ac:dyDescent="0.25">
      <c r="A223" s="152" t="s">
        <v>234</v>
      </c>
      <c r="B223" s="186" t="s">
        <v>498</v>
      </c>
      <c r="C223" s="145" t="s">
        <v>591</v>
      </c>
      <c r="D223" s="187" t="s">
        <v>239</v>
      </c>
      <c r="E223" s="293">
        <v>5</v>
      </c>
      <c r="F223" s="196" t="s">
        <v>592</v>
      </c>
      <c r="G223" s="244">
        <v>2403</v>
      </c>
      <c r="H223" s="298">
        <v>1948</v>
      </c>
      <c r="I223" s="273">
        <f t="shared" si="6"/>
        <v>455</v>
      </c>
      <c r="J223" s="120">
        <f t="shared" si="7"/>
        <v>0.81065334997919269</v>
      </c>
    </row>
    <row r="224" spans="1:13" x14ac:dyDescent="0.25">
      <c r="A224" s="152" t="s">
        <v>227</v>
      </c>
      <c r="B224" s="186" t="s">
        <v>498</v>
      </c>
      <c r="C224" s="145" t="s">
        <v>593</v>
      </c>
      <c r="D224" s="145" t="s">
        <v>232</v>
      </c>
      <c r="E224" s="294">
        <v>5</v>
      </c>
      <c r="F224" s="191" t="s">
        <v>594</v>
      </c>
      <c r="G224" s="254">
        <v>14400</v>
      </c>
      <c r="H224" s="298">
        <v>14524</v>
      </c>
      <c r="I224" s="273">
        <f t="shared" si="6"/>
        <v>-124</v>
      </c>
      <c r="J224" s="120">
        <f t="shared" si="7"/>
        <v>1.0086111111111111</v>
      </c>
    </row>
    <row r="225" spans="1:13" x14ac:dyDescent="0.25">
      <c r="A225" s="152" t="s">
        <v>227</v>
      </c>
      <c r="B225" s="186" t="s">
        <v>498</v>
      </c>
      <c r="C225" s="145" t="s">
        <v>595</v>
      </c>
      <c r="D225" s="145" t="s">
        <v>232</v>
      </c>
      <c r="E225" s="293">
        <v>5</v>
      </c>
      <c r="F225" s="196" t="s">
        <v>584</v>
      </c>
      <c r="G225" s="254">
        <v>4455</v>
      </c>
      <c r="H225" s="298">
        <v>1562</v>
      </c>
      <c r="I225" s="273">
        <f t="shared" si="6"/>
        <v>2893</v>
      </c>
      <c r="J225" s="120">
        <f t="shared" si="7"/>
        <v>0.35061728395061731</v>
      </c>
    </row>
    <row r="226" spans="1:13" x14ac:dyDescent="0.25">
      <c r="A226" s="152" t="s">
        <v>165</v>
      </c>
      <c r="B226" s="186" t="s">
        <v>498</v>
      </c>
      <c r="C226" s="145" t="s">
        <v>596</v>
      </c>
      <c r="D226" s="145" t="s">
        <v>597</v>
      </c>
      <c r="E226" s="289">
        <v>5</v>
      </c>
      <c r="F226" s="159" t="s">
        <v>598</v>
      </c>
      <c r="G226" s="251">
        <v>2700</v>
      </c>
      <c r="H226" s="298">
        <v>3746</v>
      </c>
      <c r="I226" s="273">
        <f t="shared" si="6"/>
        <v>-1046</v>
      </c>
      <c r="J226" s="120">
        <f t="shared" si="7"/>
        <v>1.3874074074074074</v>
      </c>
    </row>
    <row r="227" spans="1:13" x14ac:dyDescent="0.25">
      <c r="A227" s="152" t="s">
        <v>166</v>
      </c>
      <c r="B227" s="144" t="s">
        <v>209</v>
      </c>
      <c r="C227" s="145" t="s">
        <v>599</v>
      </c>
      <c r="D227" s="145" t="s">
        <v>600</v>
      </c>
      <c r="E227" s="289">
        <v>5</v>
      </c>
      <c r="F227" s="159" t="s">
        <v>601</v>
      </c>
      <c r="G227" s="251">
        <v>1800</v>
      </c>
      <c r="H227" s="298">
        <v>750</v>
      </c>
      <c r="I227" s="273">
        <f t="shared" si="6"/>
        <v>1050</v>
      </c>
      <c r="J227" s="120">
        <f t="shared" si="7"/>
        <v>0.41666666666666669</v>
      </c>
    </row>
    <row r="228" spans="1:13" x14ac:dyDescent="0.25">
      <c r="A228" s="162"/>
      <c r="B228" s="163" t="s">
        <v>602</v>
      </c>
      <c r="C228" s="163"/>
      <c r="D228" s="163"/>
      <c r="E228" s="163"/>
      <c r="F228" s="163"/>
      <c r="G228" s="243">
        <f>G229+G234+G241+G249+G255+G260+G264</f>
        <v>240233.96701895434</v>
      </c>
      <c r="H228" s="243">
        <f>H229+H234+H241+H249+H255+H260+H264</f>
        <v>242826.47999999998</v>
      </c>
      <c r="I228" s="273">
        <f t="shared" si="6"/>
        <v>-2592.5129810456419</v>
      </c>
      <c r="J228" s="120">
        <f t="shared" si="7"/>
        <v>1.0107916170773681</v>
      </c>
      <c r="L228" s="283">
        <f>G228/G288</f>
        <v>0.19218717484516387</v>
      </c>
      <c r="M228" s="284">
        <f>H228/H288</f>
        <v>0.21003045669135972</v>
      </c>
    </row>
    <row r="229" spans="1:13" x14ac:dyDescent="0.25">
      <c r="A229" s="167"/>
      <c r="B229" s="168"/>
      <c r="C229" s="169"/>
      <c r="D229" s="170"/>
      <c r="E229" s="170" t="s">
        <v>603</v>
      </c>
      <c r="F229" s="171"/>
      <c r="G229" s="246">
        <f>SUM(G230:G233)</f>
        <v>75060</v>
      </c>
      <c r="H229" s="246">
        <f>SUM(H230:H233)</f>
        <v>85731.389999999985</v>
      </c>
      <c r="I229" s="273">
        <f t="shared" si="6"/>
        <v>-10671.389999999985</v>
      </c>
      <c r="J229" s="120">
        <f t="shared" si="7"/>
        <v>1.1421714628297359</v>
      </c>
      <c r="L229" s="281">
        <f>G229/G228</f>
        <v>0.31244540866312132</v>
      </c>
      <c r="M229" s="282">
        <f>H229/H228</f>
        <v>0.35305618234057501</v>
      </c>
    </row>
    <row r="230" spans="1:13" x14ac:dyDescent="0.25">
      <c r="A230" s="164" t="s">
        <v>234</v>
      </c>
      <c r="B230" s="186" t="s">
        <v>498</v>
      </c>
      <c r="C230" s="165" t="s">
        <v>604</v>
      </c>
      <c r="D230" s="165" t="s">
        <v>259</v>
      </c>
      <c r="E230" s="287">
        <v>7</v>
      </c>
      <c r="F230" s="197" t="s">
        <v>41</v>
      </c>
      <c r="G230" s="244">
        <v>26400</v>
      </c>
      <c r="H230" s="279">
        <v>33289.269999999997</v>
      </c>
      <c r="I230" s="273">
        <f t="shared" si="6"/>
        <v>-6889.2699999999968</v>
      </c>
      <c r="J230" s="120">
        <f t="shared" si="7"/>
        <v>1.2609571969696969</v>
      </c>
    </row>
    <row r="231" spans="1:13" x14ac:dyDescent="0.25">
      <c r="A231" s="164" t="s">
        <v>234</v>
      </c>
      <c r="B231" s="186" t="s">
        <v>498</v>
      </c>
      <c r="C231" s="165" t="s">
        <v>605</v>
      </c>
      <c r="D231" s="165" t="s">
        <v>259</v>
      </c>
      <c r="E231" s="287">
        <v>7</v>
      </c>
      <c r="F231" s="197" t="s">
        <v>40</v>
      </c>
      <c r="G231" s="244">
        <v>24000</v>
      </c>
      <c r="H231" s="279">
        <v>24011.889999999996</v>
      </c>
      <c r="I231" s="273">
        <f t="shared" si="6"/>
        <v>-11.88999999999578</v>
      </c>
      <c r="J231" s="120">
        <f t="shared" si="7"/>
        <v>1.0004954166666664</v>
      </c>
    </row>
    <row r="232" spans="1:13" x14ac:dyDescent="0.25">
      <c r="A232" s="164" t="s">
        <v>234</v>
      </c>
      <c r="B232" s="186" t="s">
        <v>498</v>
      </c>
      <c r="C232" s="165" t="s">
        <v>606</v>
      </c>
      <c r="D232" s="165" t="s">
        <v>259</v>
      </c>
      <c r="E232" s="287">
        <v>7</v>
      </c>
      <c r="F232" s="197" t="s">
        <v>38</v>
      </c>
      <c r="G232" s="244">
        <v>18160</v>
      </c>
      <c r="H232" s="279">
        <v>21653.509999999995</v>
      </c>
      <c r="I232" s="273">
        <f t="shared" si="6"/>
        <v>-3493.5099999999948</v>
      </c>
      <c r="J232" s="120">
        <f t="shared" si="7"/>
        <v>1.1923738986784138</v>
      </c>
    </row>
    <row r="233" spans="1:13" x14ac:dyDescent="0.25">
      <c r="A233" s="164" t="s">
        <v>234</v>
      </c>
      <c r="B233" s="186" t="s">
        <v>498</v>
      </c>
      <c r="C233" s="165" t="s">
        <v>607</v>
      </c>
      <c r="D233" s="165" t="s">
        <v>259</v>
      </c>
      <c r="E233" s="287">
        <v>7</v>
      </c>
      <c r="F233" s="197" t="s">
        <v>39</v>
      </c>
      <c r="G233" s="245">
        <v>6500</v>
      </c>
      <c r="H233" s="279">
        <v>6776.72</v>
      </c>
      <c r="I233" s="273">
        <f t="shared" si="6"/>
        <v>-276.72000000000025</v>
      </c>
      <c r="J233" s="120">
        <f t="shared" si="7"/>
        <v>1.0425723076923077</v>
      </c>
    </row>
    <row r="234" spans="1:13" x14ac:dyDescent="0.25">
      <c r="A234" s="167"/>
      <c r="B234" s="168"/>
      <c r="C234" s="169"/>
      <c r="D234" s="170"/>
      <c r="E234" s="170" t="s">
        <v>608</v>
      </c>
      <c r="F234" s="171"/>
      <c r="G234" s="246">
        <f>SUM(G235:G240)</f>
        <v>33495</v>
      </c>
      <c r="H234" s="246">
        <f>SUM(H235:H240)</f>
        <v>25007.539999999997</v>
      </c>
      <c r="I234" s="273">
        <f t="shared" si="6"/>
        <v>8487.4600000000028</v>
      </c>
      <c r="J234" s="120">
        <f t="shared" si="7"/>
        <v>0.74660516494999241</v>
      </c>
      <c r="L234" s="281">
        <f>G234/G228</f>
        <v>0.13942657824635291</v>
      </c>
      <c r="M234" s="282">
        <f>H234/H228</f>
        <v>0.10298522632292821</v>
      </c>
    </row>
    <row r="235" spans="1:13" x14ac:dyDescent="0.25">
      <c r="A235" s="164" t="s">
        <v>234</v>
      </c>
      <c r="B235" s="186" t="s">
        <v>498</v>
      </c>
      <c r="C235" s="165" t="s">
        <v>609</v>
      </c>
      <c r="D235" s="165" t="s">
        <v>259</v>
      </c>
      <c r="E235" s="287">
        <v>7</v>
      </c>
      <c r="F235" s="197" t="s">
        <v>610</v>
      </c>
      <c r="G235" s="244">
        <v>6970</v>
      </c>
      <c r="H235" s="279">
        <v>6697.0899999999983</v>
      </c>
      <c r="I235" s="273">
        <f t="shared" si="6"/>
        <v>272.91000000000167</v>
      </c>
      <c r="J235" s="120">
        <f t="shared" si="7"/>
        <v>0.96084505021520783</v>
      </c>
    </row>
    <row r="236" spans="1:13" x14ac:dyDescent="0.25">
      <c r="A236" s="164" t="s">
        <v>234</v>
      </c>
      <c r="B236" s="186" t="s">
        <v>498</v>
      </c>
      <c r="C236" s="165" t="s">
        <v>611</v>
      </c>
      <c r="D236" s="165" t="s">
        <v>259</v>
      </c>
      <c r="E236" s="287">
        <v>7</v>
      </c>
      <c r="F236" s="197" t="s">
        <v>612</v>
      </c>
      <c r="G236" s="244">
        <v>6970</v>
      </c>
      <c r="H236" s="279">
        <v>5364.6599999999989</v>
      </c>
      <c r="I236" s="273">
        <f t="shared" si="6"/>
        <v>1605.3400000000011</v>
      </c>
      <c r="J236" s="120">
        <f t="shared" si="7"/>
        <v>0.76967862266857945</v>
      </c>
    </row>
    <row r="237" spans="1:13" x14ac:dyDescent="0.25">
      <c r="A237" s="164" t="s">
        <v>234</v>
      </c>
      <c r="B237" s="186" t="s">
        <v>498</v>
      </c>
      <c r="C237" s="165" t="s">
        <v>613</v>
      </c>
      <c r="D237" s="165" t="s">
        <v>259</v>
      </c>
      <c r="E237" s="287">
        <v>7</v>
      </c>
      <c r="F237" s="197" t="s">
        <v>614</v>
      </c>
      <c r="G237" s="245">
        <v>8370</v>
      </c>
      <c r="H237" s="279">
        <v>1724.08</v>
      </c>
      <c r="I237" s="273">
        <f t="shared" si="6"/>
        <v>6645.92</v>
      </c>
      <c r="J237" s="120">
        <f t="shared" si="7"/>
        <v>0.20598327359617682</v>
      </c>
    </row>
    <row r="238" spans="1:13" x14ac:dyDescent="0.25">
      <c r="A238" s="164" t="s">
        <v>234</v>
      </c>
      <c r="B238" s="186" t="s">
        <v>498</v>
      </c>
      <c r="C238" s="165" t="s">
        <v>615</v>
      </c>
      <c r="D238" s="165" t="s">
        <v>259</v>
      </c>
      <c r="E238" s="287">
        <v>7</v>
      </c>
      <c r="F238" s="197" t="s">
        <v>29</v>
      </c>
      <c r="G238" s="244">
        <v>5640</v>
      </c>
      <c r="H238" s="279">
        <v>4997.2100000000009</v>
      </c>
      <c r="I238" s="273">
        <f t="shared" si="6"/>
        <v>642.78999999999905</v>
      </c>
      <c r="J238" s="120">
        <f t="shared" si="7"/>
        <v>0.88603014184397177</v>
      </c>
    </row>
    <row r="239" spans="1:13" x14ac:dyDescent="0.25">
      <c r="A239" s="164" t="s">
        <v>234</v>
      </c>
      <c r="B239" s="186" t="s">
        <v>498</v>
      </c>
      <c r="C239" s="165" t="s">
        <v>616</v>
      </c>
      <c r="D239" s="165" t="s">
        <v>259</v>
      </c>
      <c r="E239" s="287">
        <v>7</v>
      </c>
      <c r="F239" s="197" t="s">
        <v>617</v>
      </c>
      <c r="G239" s="244">
        <v>2780</v>
      </c>
      <c r="H239" s="279">
        <v>3033.4299999999994</v>
      </c>
      <c r="I239" s="273">
        <f t="shared" si="6"/>
        <v>-253.42999999999938</v>
      </c>
      <c r="J239" s="120">
        <f t="shared" si="7"/>
        <v>1.0911618705035968</v>
      </c>
    </row>
    <row r="240" spans="1:13" x14ac:dyDescent="0.25">
      <c r="A240" s="164" t="s">
        <v>234</v>
      </c>
      <c r="B240" s="186" t="s">
        <v>498</v>
      </c>
      <c r="C240" s="165" t="s">
        <v>618</v>
      </c>
      <c r="D240" s="165" t="s">
        <v>259</v>
      </c>
      <c r="E240" s="287">
        <v>7</v>
      </c>
      <c r="F240" s="197" t="s">
        <v>619</v>
      </c>
      <c r="G240" s="244">
        <v>2765</v>
      </c>
      <c r="H240" s="279">
        <v>3191.0700000000006</v>
      </c>
      <c r="I240" s="273">
        <f t="shared" si="6"/>
        <v>-426.07000000000062</v>
      </c>
      <c r="J240" s="120">
        <f t="shared" si="7"/>
        <v>1.1540940325497289</v>
      </c>
    </row>
    <row r="241" spans="1:13" x14ac:dyDescent="0.25">
      <c r="A241" s="167"/>
      <c r="B241" s="168"/>
      <c r="C241" s="169"/>
      <c r="D241" s="170"/>
      <c r="E241" s="170" t="s">
        <v>620</v>
      </c>
      <c r="F241" s="171"/>
      <c r="G241" s="246">
        <f>SUM(G242:G248)</f>
        <v>25574</v>
      </c>
      <c r="H241" s="246">
        <f>SUM(H242:H248)</f>
        <v>29973.27</v>
      </c>
      <c r="I241" s="273">
        <f t="shared" si="6"/>
        <v>-4399.2700000000004</v>
      </c>
      <c r="J241" s="120">
        <f t="shared" si="7"/>
        <v>1.1720211933995464</v>
      </c>
      <c r="L241" s="281">
        <f>G241/G228</f>
        <v>0.10645455477152498</v>
      </c>
      <c r="M241" s="282">
        <f>H241/H228</f>
        <v>0.12343493180809606</v>
      </c>
    </row>
    <row r="242" spans="1:13" x14ac:dyDescent="0.25">
      <c r="A242" s="164" t="s">
        <v>234</v>
      </c>
      <c r="B242" s="186" t="s">
        <v>498</v>
      </c>
      <c r="C242" s="165" t="s">
        <v>621</v>
      </c>
      <c r="D242" s="165" t="s">
        <v>259</v>
      </c>
      <c r="E242" s="287">
        <v>7</v>
      </c>
      <c r="F242" s="197" t="s">
        <v>622</v>
      </c>
      <c r="G242" s="244">
        <v>3948</v>
      </c>
      <c r="H242" s="279">
        <v>3842.0199999999991</v>
      </c>
      <c r="I242" s="273">
        <f t="shared" si="6"/>
        <v>105.98000000000093</v>
      </c>
      <c r="J242" s="120">
        <f t="shared" si="7"/>
        <v>0.97315602836879411</v>
      </c>
    </row>
    <row r="243" spans="1:13" x14ac:dyDescent="0.25">
      <c r="A243" s="164" t="s">
        <v>234</v>
      </c>
      <c r="B243" s="186" t="s">
        <v>498</v>
      </c>
      <c r="C243" s="165" t="s">
        <v>623</v>
      </c>
      <c r="D243" s="165" t="s">
        <v>259</v>
      </c>
      <c r="E243" s="287">
        <v>7</v>
      </c>
      <c r="F243" s="197" t="s">
        <v>624</v>
      </c>
      <c r="G243" s="244">
        <v>3448</v>
      </c>
      <c r="H243" s="279">
        <v>4001.1099999999988</v>
      </c>
      <c r="I243" s="273">
        <f t="shared" si="6"/>
        <v>-553.10999999999876</v>
      </c>
      <c r="J243" s="120">
        <f t="shared" si="7"/>
        <v>1.1604147331786538</v>
      </c>
    </row>
    <row r="244" spans="1:13" x14ac:dyDescent="0.25">
      <c r="A244" s="164" t="s">
        <v>234</v>
      </c>
      <c r="B244" s="186" t="s">
        <v>498</v>
      </c>
      <c r="C244" s="165" t="s">
        <v>625</v>
      </c>
      <c r="D244" s="165" t="s">
        <v>259</v>
      </c>
      <c r="E244" s="287">
        <v>7</v>
      </c>
      <c r="F244" s="197" t="s">
        <v>626</v>
      </c>
      <c r="G244" s="244">
        <v>3368</v>
      </c>
      <c r="H244" s="279">
        <v>3875.88</v>
      </c>
      <c r="I244" s="273">
        <f t="shared" si="6"/>
        <v>-507.88000000000011</v>
      </c>
      <c r="J244" s="120">
        <f t="shared" si="7"/>
        <v>1.1507957244655582</v>
      </c>
    </row>
    <row r="245" spans="1:13" x14ac:dyDescent="0.25">
      <c r="A245" s="164" t="s">
        <v>234</v>
      </c>
      <c r="B245" s="186" t="s">
        <v>498</v>
      </c>
      <c r="C245" s="165" t="s">
        <v>627</v>
      </c>
      <c r="D245" s="165" t="s">
        <v>259</v>
      </c>
      <c r="E245" s="287">
        <v>7</v>
      </c>
      <c r="F245" s="197" t="s">
        <v>28</v>
      </c>
      <c r="G245" s="244">
        <v>4560</v>
      </c>
      <c r="H245" s="279">
        <v>5041.6900000000005</v>
      </c>
      <c r="I245" s="273">
        <f t="shared" si="6"/>
        <v>-481.69000000000051</v>
      </c>
      <c r="J245" s="120">
        <f t="shared" si="7"/>
        <v>1.1056337719298246</v>
      </c>
    </row>
    <row r="246" spans="1:13" x14ac:dyDescent="0.25">
      <c r="A246" s="164" t="s">
        <v>234</v>
      </c>
      <c r="B246" s="186" t="s">
        <v>498</v>
      </c>
      <c r="C246" s="165" t="s">
        <v>628</v>
      </c>
      <c r="D246" s="165" t="s">
        <v>259</v>
      </c>
      <c r="E246" s="287">
        <v>7</v>
      </c>
      <c r="F246" s="197" t="s">
        <v>629</v>
      </c>
      <c r="G246" s="244">
        <v>0</v>
      </c>
      <c r="H246" s="267">
        <v>0</v>
      </c>
      <c r="I246" s="273">
        <f t="shared" si="6"/>
        <v>0</v>
      </c>
      <c r="J246" s="120" t="e">
        <f t="shared" si="7"/>
        <v>#DIV/0!</v>
      </c>
    </row>
    <row r="247" spans="1:13" x14ac:dyDescent="0.25">
      <c r="A247" s="164" t="s">
        <v>234</v>
      </c>
      <c r="B247" s="186" t="s">
        <v>498</v>
      </c>
      <c r="C247" s="165" t="s">
        <v>630</v>
      </c>
      <c r="D247" s="165" t="s">
        <v>259</v>
      </c>
      <c r="E247" s="287">
        <v>7</v>
      </c>
      <c r="F247" s="197" t="s">
        <v>631</v>
      </c>
      <c r="G247" s="244">
        <v>6010</v>
      </c>
      <c r="H247" s="279">
        <v>7567.6200000000026</v>
      </c>
      <c r="I247" s="273">
        <f t="shared" si="6"/>
        <v>-1557.6200000000026</v>
      </c>
      <c r="J247" s="120">
        <f t="shared" si="7"/>
        <v>1.2591713810316145</v>
      </c>
    </row>
    <row r="248" spans="1:13" x14ac:dyDescent="0.25">
      <c r="A248" s="164" t="s">
        <v>234</v>
      </c>
      <c r="B248" s="186" t="s">
        <v>498</v>
      </c>
      <c r="C248" s="165" t="s">
        <v>632</v>
      </c>
      <c r="D248" s="165" t="s">
        <v>259</v>
      </c>
      <c r="E248" s="287">
        <v>7</v>
      </c>
      <c r="F248" s="197" t="s">
        <v>161</v>
      </c>
      <c r="G248" s="244">
        <v>4240</v>
      </c>
      <c r="H248" s="279">
        <v>5644.9500000000007</v>
      </c>
      <c r="I248" s="273">
        <f t="shared" si="6"/>
        <v>-1404.9500000000007</v>
      </c>
      <c r="J248" s="120">
        <f t="shared" si="7"/>
        <v>1.3313561320754719</v>
      </c>
    </row>
    <row r="249" spans="1:13" x14ac:dyDescent="0.25">
      <c r="A249" s="171"/>
      <c r="B249" s="171"/>
      <c r="C249" s="171"/>
      <c r="D249" s="170"/>
      <c r="E249" s="170" t="s">
        <v>633</v>
      </c>
      <c r="F249" s="171"/>
      <c r="G249" s="246">
        <f>SUM(G250:G254)</f>
        <v>6237.1670189543111</v>
      </c>
      <c r="H249" s="246">
        <f>SUM(H250:H254)</f>
        <v>2910.6399999999994</v>
      </c>
      <c r="I249" s="273">
        <f t="shared" si="6"/>
        <v>3326.5270189543116</v>
      </c>
      <c r="J249" s="120">
        <f t="shared" si="7"/>
        <v>0.46666058342750316</v>
      </c>
      <c r="L249" s="281">
        <f>G249/G228</f>
        <v>2.5962885666630988E-2</v>
      </c>
      <c r="M249" s="282">
        <f>H249/H228</f>
        <v>1.1986501636889023E-2</v>
      </c>
    </row>
    <row r="250" spans="1:13" x14ac:dyDescent="0.25">
      <c r="A250" s="164" t="s">
        <v>234</v>
      </c>
      <c r="B250" s="186" t="s">
        <v>498</v>
      </c>
      <c r="C250" s="165" t="s">
        <v>634</v>
      </c>
      <c r="D250" s="165" t="s">
        <v>259</v>
      </c>
      <c r="E250" s="287">
        <v>7</v>
      </c>
      <c r="F250" s="198" t="s">
        <v>635</v>
      </c>
      <c r="G250" s="252">
        <v>1781.1670189543108</v>
      </c>
      <c r="H250" s="279">
        <v>160.17999999999998</v>
      </c>
      <c r="I250" s="273">
        <f t="shared" si="6"/>
        <v>1620.9870189543108</v>
      </c>
      <c r="J250" s="120">
        <f t="shared" si="7"/>
        <v>8.9929803491442709E-2</v>
      </c>
    </row>
    <row r="251" spans="1:13" x14ac:dyDescent="0.25">
      <c r="A251" s="164" t="s">
        <v>234</v>
      </c>
      <c r="B251" s="186" t="s">
        <v>498</v>
      </c>
      <c r="C251" s="165" t="s">
        <v>636</v>
      </c>
      <c r="D251" s="165" t="s">
        <v>259</v>
      </c>
      <c r="E251" s="295">
        <v>7</v>
      </c>
      <c r="F251" s="198" t="s">
        <v>637</v>
      </c>
      <c r="G251" s="252">
        <v>1100</v>
      </c>
      <c r="H251" s="279">
        <v>160.39999999999969</v>
      </c>
      <c r="I251" s="273">
        <f t="shared" si="6"/>
        <v>939.60000000000036</v>
      </c>
      <c r="J251" s="120">
        <f t="shared" si="7"/>
        <v>0.14581818181818154</v>
      </c>
    </row>
    <row r="252" spans="1:13" x14ac:dyDescent="0.25">
      <c r="A252" s="164" t="s">
        <v>234</v>
      </c>
      <c r="B252" s="186" t="s">
        <v>498</v>
      </c>
      <c r="C252" s="165" t="s">
        <v>638</v>
      </c>
      <c r="D252" s="165" t="s">
        <v>259</v>
      </c>
      <c r="E252" s="287">
        <v>7</v>
      </c>
      <c r="F252" s="198" t="s">
        <v>639</v>
      </c>
      <c r="G252" s="252">
        <v>800</v>
      </c>
      <c r="H252" s="279">
        <v>878.33999999999992</v>
      </c>
      <c r="I252" s="273">
        <f t="shared" si="6"/>
        <v>-78.339999999999918</v>
      </c>
      <c r="J252" s="120">
        <f t="shared" si="7"/>
        <v>1.0979249999999998</v>
      </c>
    </row>
    <row r="253" spans="1:13" x14ac:dyDescent="0.25">
      <c r="A253" s="164" t="s">
        <v>234</v>
      </c>
      <c r="B253" s="186" t="s">
        <v>498</v>
      </c>
      <c r="C253" s="165" t="s">
        <v>640</v>
      </c>
      <c r="D253" s="165" t="s">
        <v>259</v>
      </c>
      <c r="E253" s="287">
        <v>7</v>
      </c>
      <c r="F253" s="198" t="s">
        <v>641</v>
      </c>
      <c r="G253" s="252">
        <v>1350</v>
      </c>
      <c r="H253" s="279">
        <v>1467.72</v>
      </c>
      <c r="I253" s="273">
        <f t="shared" si="6"/>
        <v>-117.72000000000003</v>
      </c>
      <c r="J253" s="120">
        <f t="shared" si="7"/>
        <v>1.0871999999999999</v>
      </c>
    </row>
    <row r="254" spans="1:13" x14ac:dyDescent="0.25">
      <c r="A254" s="164" t="s">
        <v>234</v>
      </c>
      <c r="B254" s="186" t="s">
        <v>498</v>
      </c>
      <c r="C254" s="165" t="s">
        <v>642</v>
      </c>
      <c r="D254" s="165" t="s">
        <v>259</v>
      </c>
      <c r="E254" s="287">
        <v>7</v>
      </c>
      <c r="F254" s="198" t="s">
        <v>643</v>
      </c>
      <c r="G254" s="252">
        <v>1206</v>
      </c>
      <c r="H254" s="279">
        <v>244</v>
      </c>
      <c r="I254" s="273">
        <f t="shared" si="6"/>
        <v>962</v>
      </c>
      <c r="J254" s="120">
        <f t="shared" si="7"/>
        <v>0.20232172470978441</v>
      </c>
    </row>
    <row r="255" spans="1:13" x14ac:dyDescent="0.25">
      <c r="A255" s="167"/>
      <c r="B255" s="168"/>
      <c r="C255" s="169"/>
      <c r="D255" s="170"/>
      <c r="E255" s="170" t="s">
        <v>644</v>
      </c>
      <c r="F255" s="171"/>
      <c r="G255" s="246">
        <f>SUM(G256:G259)</f>
        <v>68322.8</v>
      </c>
      <c r="H255" s="246">
        <f>SUM(H256:H259)</f>
        <v>69523.550000000017</v>
      </c>
      <c r="I255" s="273">
        <f t="shared" si="6"/>
        <v>-1200.7500000000146</v>
      </c>
      <c r="J255" s="120">
        <f t="shared" si="7"/>
        <v>1.0175746602890985</v>
      </c>
      <c r="L255" s="281">
        <f>G255/G228</f>
        <v>0.2844010813616934</v>
      </c>
      <c r="M255" s="282">
        <f>H255/H228</f>
        <v>0.28630959028850572</v>
      </c>
    </row>
    <row r="256" spans="1:13" x14ac:dyDescent="0.25">
      <c r="A256" s="164" t="s">
        <v>227</v>
      </c>
      <c r="B256" s="186" t="s">
        <v>498</v>
      </c>
      <c r="C256" s="165" t="s">
        <v>645</v>
      </c>
      <c r="D256" s="165" t="s">
        <v>356</v>
      </c>
      <c r="E256" s="289">
        <v>7</v>
      </c>
      <c r="F256" s="185" t="s">
        <v>162</v>
      </c>
      <c r="G256" s="250">
        <v>28420</v>
      </c>
      <c r="H256" s="279">
        <v>28420</v>
      </c>
      <c r="I256" s="273">
        <f t="shared" si="6"/>
        <v>0</v>
      </c>
      <c r="J256" s="120">
        <f t="shared" si="7"/>
        <v>1</v>
      </c>
    </row>
    <row r="257" spans="1:13" x14ac:dyDescent="0.25">
      <c r="A257" s="164" t="s">
        <v>227</v>
      </c>
      <c r="B257" s="186" t="s">
        <v>498</v>
      </c>
      <c r="C257" s="165" t="s">
        <v>646</v>
      </c>
      <c r="D257" s="165" t="s">
        <v>356</v>
      </c>
      <c r="E257" s="289">
        <v>7</v>
      </c>
      <c r="F257" s="185" t="s">
        <v>163</v>
      </c>
      <c r="G257" s="250">
        <v>15206</v>
      </c>
      <c r="H257" s="279">
        <v>15798.850000000002</v>
      </c>
      <c r="I257" s="273">
        <f t="shared" si="6"/>
        <v>-592.85000000000218</v>
      </c>
      <c r="J257" s="120">
        <f t="shared" si="7"/>
        <v>1.0389878995133501</v>
      </c>
    </row>
    <row r="258" spans="1:13" x14ac:dyDescent="0.25">
      <c r="A258" s="164" t="s">
        <v>227</v>
      </c>
      <c r="B258" s="186" t="s">
        <v>498</v>
      </c>
      <c r="C258" s="165" t="s">
        <v>647</v>
      </c>
      <c r="D258" s="165" t="s">
        <v>356</v>
      </c>
      <c r="E258" s="289">
        <v>7</v>
      </c>
      <c r="F258" s="185" t="s">
        <v>164</v>
      </c>
      <c r="G258" s="250">
        <v>11536.800000000001</v>
      </c>
      <c r="H258" s="279">
        <v>12144.700000000004</v>
      </c>
      <c r="I258" s="273">
        <f t="shared" si="6"/>
        <v>-607.90000000000327</v>
      </c>
      <c r="J258" s="120">
        <f t="shared" si="7"/>
        <v>1.0526922543512935</v>
      </c>
    </row>
    <row r="259" spans="1:13" x14ac:dyDescent="0.25">
      <c r="A259" s="164" t="s">
        <v>227</v>
      </c>
      <c r="B259" s="186" t="s">
        <v>498</v>
      </c>
      <c r="C259" s="165" t="s">
        <v>648</v>
      </c>
      <c r="D259" s="165" t="s">
        <v>356</v>
      </c>
      <c r="E259" s="289">
        <v>7</v>
      </c>
      <c r="F259" s="185" t="s">
        <v>649</v>
      </c>
      <c r="G259" s="250">
        <v>13160</v>
      </c>
      <c r="H259" s="279">
        <v>13160</v>
      </c>
      <c r="I259" s="273">
        <f t="shared" ref="I259:I288" si="8">G259-H259</f>
        <v>0</v>
      </c>
      <c r="J259" s="120">
        <f t="shared" ref="J259:J288" si="9">H259/G259</f>
        <v>1</v>
      </c>
    </row>
    <row r="260" spans="1:13" x14ac:dyDescent="0.25">
      <c r="A260" s="167"/>
      <c r="B260" s="168"/>
      <c r="C260" s="169"/>
      <c r="D260" s="170"/>
      <c r="E260" s="170" t="s">
        <v>650</v>
      </c>
      <c r="F260" s="171"/>
      <c r="G260" s="246">
        <f>SUM(G261:G263)</f>
        <v>19170</v>
      </c>
      <c r="H260" s="246">
        <f>SUM(H261:H263)</f>
        <v>18105</v>
      </c>
      <c r="I260" s="273">
        <f t="shared" si="8"/>
        <v>1065</v>
      </c>
      <c r="J260" s="120">
        <f t="shared" si="9"/>
        <v>0.94444444444444442</v>
      </c>
      <c r="L260" s="281">
        <f>G260/G228</f>
        <v>7.979720868734394E-2</v>
      </c>
      <c r="M260" s="282">
        <f>H260/H228</f>
        <v>7.4559413783867393E-2</v>
      </c>
    </row>
    <row r="261" spans="1:13" x14ac:dyDescent="0.25">
      <c r="A261" s="164" t="s">
        <v>165</v>
      </c>
      <c r="B261" s="186" t="s">
        <v>498</v>
      </c>
      <c r="C261" s="165" t="s">
        <v>651</v>
      </c>
      <c r="D261" s="165" t="s">
        <v>652</v>
      </c>
      <c r="E261" s="289">
        <v>7</v>
      </c>
      <c r="F261" s="185" t="s">
        <v>167</v>
      </c>
      <c r="G261" s="253">
        <v>10800</v>
      </c>
      <c r="H261" s="279">
        <v>10560</v>
      </c>
      <c r="I261" s="273">
        <f t="shared" si="8"/>
        <v>240</v>
      </c>
      <c r="J261" s="120">
        <f t="shared" si="9"/>
        <v>0.97777777777777775</v>
      </c>
    </row>
    <row r="262" spans="1:13" x14ac:dyDescent="0.25">
      <c r="A262" s="164" t="s">
        <v>165</v>
      </c>
      <c r="B262" s="186" t="s">
        <v>498</v>
      </c>
      <c r="C262" s="165" t="s">
        <v>653</v>
      </c>
      <c r="D262" s="165" t="s">
        <v>652</v>
      </c>
      <c r="E262" s="289">
        <v>7</v>
      </c>
      <c r="F262" s="185" t="s">
        <v>168</v>
      </c>
      <c r="G262" s="253">
        <v>6480</v>
      </c>
      <c r="H262" s="279">
        <v>5760</v>
      </c>
      <c r="I262" s="273">
        <f t="shared" si="8"/>
        <v>720</v>
      </c>
      <c r="J262" s="120">
        <f t="shared" si="9"/>
        <v>0.88888888888888884</v>
      </c>
    </row>
    <row r="263" spans="1:13" x14ac:dyDescent="0.25">
      <c r="A263" s="164" t="s">
        <v>165</v>
      </c>
      <c r="B263" s="186" t="s">
        <v>498</v>
      </c>
      <c r="C263" s="165" t="s">
        <v>654</v>
      </c>
      <c r="D263" s="165" t="s">
        <v>652</v>
      </c>
      <c r="E263" s="290">
        <v>1</v>
      </c>
      <c r="F263" s="185" t="s">
        <v>655</v>
      </c>
      <c r="G263" s="253">
        <v>1890</v>
      </c>
      <c r="H263" s="279">
        <v>1785</v>
      </c>
      <c r="I263" s="273">
        <f t="shared" si="8"/>
        <v>105</v>
      </c>
      <c r="J263" s="120">
        <f t="shared" si="9"/>
        <v>0.94444444444444442</v>
      </c>
    </row>
    <row r="264" spans="1:13" x14ac:dyDescent="0.25">
      <c r="A264" s="167"/>
      <c r="B264" s="168"/>
      <c r="C264" s="169"/>
      <c r="D264" s="170"/>
      <c r="E264" s="170" t="s">
        <v>656</v>
      </c>
      <c r="F264" s="199"/>
      <c r="G264" s="246">
        <f>SUM(G265:G269)</f>
        <v>12375</v>
      </c>
      <c r="H264" s="246">
        <f>SUM(H265:H269)</f>
        <v>11575.089999999997</v>
      </c>
      <c r="I264" s="273">
        <f t="shared" si="8"/>
        <v>799.91000000000349</v>
      </c>
      <c r="J264" s="120">
        <f t="shared" si="9"/>
        <v>0.93536080808080779</v>
      </c>
      <c r="L264" s="281">
        <f>G264/G228</f>
        <v>5.1512282603332356E-2</v>
      </c>
      <c r="M264" s="282">
        <f>H264/H228</f>
        <v>4.7668153819138658E-2</v>
      </c>
    </row>
    <row r="265" spans="1:13" x14ac:dyDescent="0.25">
      <c r="A265" s="164" t="s">
        <v>166</v>
      </c>
      <c r="B265" s="186" t="s">
        <v>498</v>
      </c>
      <c r="C265" s="165" t="s">
        <v>657</v>
      </c>
      <c r="D265" s="165" t="s">
        <v>658</v>
      </c>
      <c r="E265" s="289">
        <v>7</v>
      </c>
      <c r="F265" s="185" t="s">
        <v>169</v>
      </c>
      <c r="G265" s="253">
        <v>5400</v>
      </c>
      <c r="H265" s="279">
        <v>5408.6799999999939</v>
      </c>
      <c r="I265" s="273">
        <f t="shared" si="8"/>
        <v>-8.6799999999939246</v>
      </c>
      <c r="J265" s="120">
        <f t="shared" si="9"/>
        <v>1.0016074074074064</v>
      </c>
    </row>
    <row r="266" spans="1:13" x14ac:dyDescent="0.25">
      <c r="A266" s="164" t="s">
        <v>166</v>
      </c>
      <c r="B266" s="186" t="s">
        <v>498</v>
      </c>
      <c r="C266" s="165" t="s">
        <v>659</v>
      </c>
      <c r="D266" s="165" t="s">
        <v>658</v>
      </c>
      <c r="E266" s="289">
        <v>7</v>
      </c>
      <c r="F266" s="185" t="s">
        <v>168</v>
      </c>
      <c r="G266" s="253">
        <v>2700</v>
      </c>
      <c r="H266" s="279">
        <v>3779.2400000000021</v>
      </c>
      <c r="I266" s="273">
        <f t="shared" si="8"/>
        <v>-1079.2400000000021</v>
      </c>
      <c r="J266" s="120">
        <f t="shared" si="9"/>
        <v>1.3997185185185193</v>
      </c>
    </row>
    <row r="267" spans="1:13" x14ac:dyDescent="0.25">
      <c r="A267" s="164" t="s">
        <v>166</v>
      </c>
      <c r="B267" s="186" t="s">
        <v>498</v>
      </c>
      <c r="C267" s="165" t="s">
        <v>660</v>
      </c>
      <c r="D267" s="165" t="s">
        <v>658</v>
      </c>
      <c r="E267" s="289">
        <v>7</v>
      </c>
      <c r="F267" s="185" t="s">
        <v>170</v>
      </c>
      <c r="G267" s="253">
        <v>2250</v>
      </c>
      <c r="H267" s="279">
        <v>1000.8299999999998</v>
      </c>
      <c r="I267" s="273">
        <f t="shared" si="8"/>
        <v>1249.17</v>
      </c>
      <c r="J267" s="120">
        <f t="shared" si="9"/>
        <v>0.44481333333333323</v>
      </c>
    </row>
    <row r="268" spans="1:13" x14ac:dyDescent="0.25">
      <c r="A268" s="164" t="s">
        <v>166</v>
      </c>
      <c r="B268" s="186" t="s">
        <v>498</v>
      </c>
      <c r="C268" s="165" t="s">
        <v>661</v>
      </c>
      <c r="D268" s="165" t="s">
        <v>658</v>
      </c>
      <c r="E268" s="289">
        <v>7</v>
      </c>
      <c r="F268" s="185" t="s">
        <v>171</v>
      </c>
      <c r="G268" s="253">
        <v>1575</v>
      </c>
      <c r="H268" s="279">
        <v>878.43000000000006</v>
      </c>
      <c r="I268" s="273">
        <f t="shared" si="8"/>
        <v>696.56999999999994</v>
      </c>
      <c r="J268" s="120">
        <f t="shared" si="9"/>
        <v>0.55773333333333341</v>
      </c>
    </row>
    <row r="269" spans="1:13" x14ac:dyDescent="0.25">
      <c r="A269" s="164" t="s">
        <v>166</v>
      </c>
      <c r="B269" s="186" t="s">
        <v>498</v>
      </c>
      <c r="C269" s="165" t="s">
        <v>662</v>
      </c>
      <c r="D269" s="165" t="s">
        <v>492</v>
      </c>
      <c r="E269" s="289">
        <v>1</v>
      </c>
      <c r="F269" s="185" t="s">
        <v>663</v>
      </c>
      <c r="G269" s="253">
        <v>450</v>
      </c>
      <c r="H269" s="279">
        <v>507.90999999999997</v>
      </c>
      <c r="I269" s="273">
        <f t="shared" si="8"/>
        <v>-57.909999999999968</v>
      </c>
      <c r="J269" s="120">
        <f t="shared" si="9"/>
        <v>1.1286888888888889</v>
      </c>
    </row>
    <row r="270" spans="1:13" x14ac:dyDescent="0.25">
      <c r="A270" s="162"/>
      <c r="B270" s="163" t="s">
        <v>664</v>
      </c>
      <c r="C270" s="163"/>
      <c r="D270" s="163"/>
      <c r="E270" s="163"/>
      <c r="F270" s="163"/>
      <c r="G270" s="243">
        <f>SUM(G271:G282)</f>
        <v>40622.784981029588</v>
      </c>
      <c r="H270" s="243">
        <f>SUM(H271:H282)</f>
        <v>37018.03</v>
      </c>
      <c r="I270" s="273">
        <f t="shared" si="8"/>
        <v>3604.7549810295895</v>
      </c>
      <c r="J270" s="120">
        <f t="shared" si="9"/>
        <v>0.91126273142737579</v>
      </c>
      <c r="L270" s="283">
        <f>G270/G288</f>
        <v>3.2498228192812756E-2</v>
      </c>
      <c r="M270" s="284">
        <f>H270/H288</f>
        <v>3.2018393326438105E-2</v>
      </c>
    </row>
    <row r="271" spans="1:13" x14ac:dyDescent="0.25">
      <c r="A271" s="164" t="s">
        <v>234</v>
      </c>
      <c r="B271" s="186" t="s">
        <v>498</v>
      </c>
      <c r="C271" s="165" t="s">
        <v>665</v>
      </c>
      <c r="D271" s="165" t="s">
        <v>259</v>
      </c>
      <c r="E271" s="293">
        <v>7</v>
      </c>
      <c r="F271" s="195" t="s">
        <v>666</v>
      </c>
      <c r="G271" s="245">
        <v>4860</v>
      </c>
      <c r="H271" s="279">
        <v>6511.47</v>
      </c>
      <c r="I271" s="273">
        <f t="shared" si="8"/>
        <v>-1651.4700000000003</v>
      </c>
      <c r="J271" s="120">
        <f t="shared" si="9"/>
        <v>1.3398086419753088</v>
      </c>
    </row>
    <row r="272" spans="1:13" x14ac:dyDescent="0.25">
      <c r="A272" s="164" t="s">
        <v>234</v>
      </c>
      <c r="B272" s="186" t="s">
        <v>498</v>
      </c>
      <c r="C272" s="165" t="s">
        <v>667</v>
      </c>
      <c r="D272" s="165" t="s">
        <v>259</v>
      </c>
      <c r="E272" s="287">
        <v>7</v>
      </c>
      <c r="F272" s="197" t="s">
        <v>22</v>
      </c>
      <c r="G272" s="244">
        <v>4600</v>
      </c>
      <c r="H272" s="279">
        <v>4994.5000000000009</v>
      </c>
      <c r="I272" s="273">
        <f t="shared" si="8"/>
        <v>-394.50000000000091</v>
      </c>
      <c r="J272" s="120">
        <f t="shared" si="9"/>
        <v>1.0857608695652177</v>
      </c>
    </row>
    <row r="273" spans="1:13" x14ac:dyDescent="0.25">
      <c r="A273" s="172" t="s">
        <v>234</v>
      </c>
      <c r="B273" s="186" t="s">
        <v>498</v>
      </c>
      <c r="C273" s="145" t="s">
        <v>668</v>
      </c>
      <c r="D273" s="145" t="s">
        <v>259</v>
      </c>
      <c r="E273" s="287">
        <v>7</v>
      </c>
      <c r="F273" s="200" t="s">
        <v>669</v>
      </c>
      <c r="G273" s="255">
        <v>2000</v>
      </c>
      <c r="H273" s="279">
        <v>1866.56</v>
      </c>
      <c r="I273" s="273">
        <f t="shared" si="8"/>
        <v>133.44000000000005</v>
      </c>
      <c r="J273" s="120">
        <f t="shared" si="9"/>
        <v>0.93328</v>
      </c>
    </row>
    <row r="274" spans="1:13" x14ac:dyDescent="0.25">
      <c r="A274" s="172" t="s">
        <v>234</v>
      </c>
      <c r="B274" s="186" t="s">
        <v>498</v>
      </c>
      <c r="C274" s="145" t="s">
        <v>670</v>
      </c>
      <c r="D274" s="145" t="s">
        <v>259</v>
      </c>
      <c r="E274" s="287">
        <v>7</v>
      </c>
      <c r="F274" s="200" t="s">
        <v>671</v>
      </c>
      <c r="G274" s="244">
        <v>7000</v>
      </c>
      <c r="H274" s="279">
        <v>3211.39</v>
      </c>
      <c r="I274" s="273">
        <f t="shared" si="8"/>
        <v>3788.61</v>
      </c>
      <c r="J274" s="120">
        <f t="shared" si="9"/>
        <v>0.45876999999999996</v>
      </c>
    </row>
    <row r="275" spans="1:13" x14ac:dyDescent="0.25">
      <c r="A275" s="164" t="s">
        <v>234</v>
      </c>
      <c r="B275" s="186" t="s">
        <v>498</v>
      </c>
      <c r="C275" s="165" t="s">
        <v>672</v>
      </c>
      <c r="D275" s="165" t="s">
        <v>259</v>
      </c>
      <c r="E275" s="287">
        <v>7</v>
      </c>
      <c r="F275" s="197" t="s">
        <v>673</v>
      </c>
      <c r="G275" s="244">
        <v>16100.192981045593</v>
      </c>
      <c r="H275" s="279">
        <v>15539.709999999997</v>
      </c>
      <c r="I275" s="273">
        <f t="shared" si="8"/>
        <v>560.48298104559581</v>
      </c>
      <c r="J275" s="120">
        <f t="shared" si="9"/>
        <v>0.96518780975448926</v>
      </c>
    </row>
    <row r="276" spans="1:13" x14ac:dyDescent="0.25">
      <c r="A276" s="164" t="s">
        <v>227</v>
      </c>
      <c r="B276" s="186" t="s">
        <v>498</v>
      </c>
      <c r="C276" s="165" t="s">
        <v>674</v>
      </c>
      <c r="D276" s="165" t="s">
        <v>356</v>
      </c>
      <c r="E276" s="294">
        <v>7</v>
      </c>
      <c r="F276" s="194" t="s">
        <v>675</v>
      </c>
      <c r="G276" s="245">
        <v>1080</v>
      </c>
      <c r="H276" s="279">
        <v>1080</v>
      </c>
      <c r="I276" s="273">
        <f t="shared" si="8"/>
        <v>0</v>
      </c>
      <c r="J276" s="120">
        <f t="shared" si="9"/>
        <v>1</v>
      </c>
    </row>
    <row r="277" spans="1:13" x14ac:dyDescent="0.25">
      <c r="A277" s="201" t="s">
        <v>227</v>
      </c>
      <c r="B277" s="186" t="s">
        <v>498</v>
      </c>
      <c r="C277" s="202" t="s">
        <v>676</v>
      </c>
      <c r="D277" s="202" t="s">
        <v>356</v>
      </c>
      <c r="E277" s="294">
        <v>7</v>
      </c>
      <c r="F277" s="203" t="s">
        <v>677</v>
      </c>
      <c r="G277" s="244">
        <v>2477.6020000000003</v>
      </c>
      <c r="H277" s="279">
        <v>2278.2400000000016</v>
      </c>
      <c r="I277" s="273">
        <f t="shared" si="8"/>
        <v>199.36199999999872</v>
      </c>
      <c r="J277" s="120">
        <f t="shared" si="9"/>
        <v>0.91953429162553202</v>
      </c>
    </row>
    <row r="278" spans="1:13" x14ac:dyDescent="0.25">
      <c r="A278" s="172" t="s">
        <v>227</v>
      </c>
      <c r="B278" s="186" t="s">
        <v>498</v>
      </c>
      <c r="C278" s="145" t="s">
        <v>678</v>
      </c>
      <c r="D278" s="145" t="s">
        <v>356</v>
      </c>
      <c r="E278" s="289">
        <v>7</v>
      </c>
      <c r="F278" s="159" t="s">
        <v>679</v>
      </c>
      <c r="G278" s="250">
        <v>53.990000000000009</v>
      </c>
      <c r="H278" s="279">
        <v>59</v>
      </c>
      <c r="I278" s="273">
        <f t="shared" si="8"/>
        <v>-5.0099999999999909</v>
      </c>
      <c r="J278" s="120">
        <f t="shared" si="9"/>
        <v>1.0927949620300055</v>
      </c>
    </row>
    <row r="279" spans="1:13" x14ac:dyDescent="0.25">
      <c r="A279" s="172" t="s">
        <v>165</v>
      </c>
      <c r="B279" s="186" t="s">
        <v>498</v>
      </c>
      <c r="C279" s="145" t="s">
        <v>680</v>
      </c>
      <c r="D279" s="145" t="s">
        <v>652</v>
      </c>
      <c r="E279" s="289">
        <v>7</v>
      </c>
      <c r="F279" s="159" t="s">
        <v>679</v>
      </c>
      <c r="G279" s="251">
        <v>360</v>
      </c>
      <c r="H279" s="279">
        <v>0</v>
      </c>
      <c r="I279" s="273">
        <f t="shared" si="8"/>
        <v>360</v>
      </c>
      <c r="J279" s="120">
        <f t="shared" si="9"/>
        <v>0</v>
      </c>
    </row>
    <row r="280" spans="1:13" x14ac:dyDescent="0.25">
      <c r="A280" s="201" t="s">
        <v>165</v>
      </c>
      <c r="B280" s="186" t="s">
        <v>498</v>
      </c>
      <c r="C280" s="202" t="s">
        <v>681</v>
      </c>
      <c r="D280" s="202" t="s">
        <v>652</v>
      </c>
      <c r="E280" s="289">
        <v>7</v>
      </c>
      <c r="F280" s="204" t="s">
        <v>677</v>
      </c>
      <c r="G280" s="256">
        <v>366.999999984</v>
      </c>
      <c r="H280" s="279">
        <v>260.18000000000012</v>
      </c>
      <c r="I280" s="273">
        <f t="shared" si="8"/>
        <v>106.81999998399988</v>
      </c>
      <c r="J280" s="120">
        <f t="shared" si="9"/>
        <v>0.70893732973118018</v>
      </c>
    </row>
    <row r="281" spans="1:13" x14ac:dyDescent="0.25">
      <c r="A281" s="172" t="s">
        <v>166</v>
      </c>
      <c r="B281" s="186" t="s">
        <v>498</v>
      </c>
      <c r="C281" s="145" t="s">
        <v>682</v>
      </c>
      <c r="D281" s="145" t="s">
        <v>658</v>
      </c>
      <c r="E281" s="289">
        <v>7</v>
      </c>
      <c r="F281" s="159" t="s">
        <v>679</v>
      </c>
      <c r="G281" s="251">
        <v>810</v>
      </c>
      <c r="H281" s="279">
        <v>160</v>
      </c>
      <c r="I281" s="273">
        <f t="shared" si="8"/>
        <v>650</v>
      </c>
      <c r="J281" s="120">
        <f t="shared" si="9"/>
        <v>0.19753086419753085</v>
      </c>
    </row>
    <row r="282" spans="1:13" x14ac:dyDescent="0.25">
      <c r="A282" s="201" t="s">
        <v>166</v>
      </c>
      <c r="B282" s="186" t="s">
        <v>498</v>
      </c>
      <c r="C282" s="202" t="s">
        <v>683</v>
      </c>
      <c r="D282" s="202" t="s">
        <v>658</v>
      </c>
      <c r="E282" s="289">
        <v>7</v>
      </c>
      <c r="F282" s="204" t="s">
        <v>677</v>
      </c>
      <c r="G282" s="256">
        <v>913.99999999999807</v>
      </c>
      <c r="H282" s="279">
        <v>1056.98</v>
      </c>
      <c r="I282" s="273">
        <f t="shared" si="8"/>
        <v>-142.98000000000195</v>
      </c>
      <c r="J282" s="120">
        <f t="shared" si="9"/>
        <v>1.1564332603938756</v>
      </c>
    </row>
    <row r="283" spans="1:13" x14ac:dyDescent="0.25">
      <c r="A283" s="205" t="s">
        <v>684</v>
      </c>
      <c r="B283" s="206"/>
      <c r="C283" s="206"/>
      <c r="D283" s="206"/>
      <c r="E283" s="206"/>
      <c r="F283" s="206"/>
      <c r="G283" s="257">
        <f>SUMIF(B:B,"P",G:G)</f>
        <v>774750.45</v>
      </c>
      <c r="H283" s="257">
        <f>SUMIF(B:B,"P",H:H)</f>
        <v>696729.53</v>
      </c>
      <c r="I283" s="273">
        <f t="shared" si="8"/>
        <v>78020.919999999925</v>
      </c>
      <c r="J283" s="120">
        <f t="shared" si="9"/>
        <v>0.89929541828597848</v>
      </c>
    </row>
    <row r="284" spans="1:13" x14ac:dyDescent="0.25">
      <c r="A284" s="205" t="s">
        <v>685</v>
      </c>
      <c r="B284" s="206"/>
      <c r="C284" s="206"/>
      <c r="D284" s="206"/>
      <c r="E284" s="206"/>
      <c r="F284" s="206"/>
      <c r="G284" s="257">
        <f>SUMIF(B:B,"S",G:G)</f>
        <v>393473.84199998388</v>
      </c>
      <c r="H284" s="257">
        <f>SUMIF(B:B,"S",H:H)</f>
        <v>384166.91999999993</v>
      </c>
      <c r="I284" s="273">
        <f t="shared" si="8"/>
        <v>9306.9219999839552</v>
      </c>
      <c r="J284" s="120">
        <f t="shared" si="9"/>
        <v>0.97634678342865711</v>
      </c>
    </row>
    <row r="285" spans="1:13" x14ac:dyDescent="0.25">
      <c r="A285" s="207" t="s">
        <v>686</v>
      </c>
      <c r="B285" s="207"/>
      <c r="C285" s="207"/>
      <c r="D285" s="207"/>
      <c r="E285" s="207"/>
      <c r="F285" s="207"/>
      <c r="G285" s="258">
        <f>+G283+G284</f>
        <v>1168224.2919999838</v>
      </c>
      <c r="H285" s="258">
        <f>+H283+H284</f>
        <v>1080896.45</v>
      </c>
      <c r="I285" s="273">
        <f t="shared" si="8"/>
        <v>87327.841999983881</v>
      </c>
      <c r="J285" s="120">
        <f t="shared" si="9"/>
        <v>0.9252473667959088</v>
      </c>
    </row>
    <row r="286" spans="1:13" x14ac:dyDescent="0.25">
      <c r="A286" s="208" t="s">
        <v>687</v>
      </c>
      <c r="B286" s="209"/>
      <c r="C286" s="209"/>
      <c r="D286" s="209"/>
      <c r="E286" s="209"/>
      <c r="F286" s="210"/>
      <c r="G286" s="259">
        <f>+G285</f>
        <v>1168224.2919999838</v>
      </c>
      <c r="H286" s="259">
        <f>+H285</f>
        <v>1080896.45</v>
      </c>
      <c r="I286" s="273">
        <f t="shared" si="8"/>
        <v>87327.841999983881</v>
      </c>
      <c r="J286" s="120">
        <f t="shared" si="9"/>
        <v>0.9252473667959088</v>
      </c>
    </row>
    <row r="287" spans="1:13" x14ac:dyDescent="0.25">
      <c r="A287" s="211" t="s">
        <v>234</v>
      </c>
      <c r="B287" s="212"/>
      <c r="C287" s="213" t="s">
        <v>688</v>
      </c>
      <c r="D287" s="213" t="s">
        <v>688</v>
      </c>
      <c r="E287" s="213">
        <v>8</v>
      </c>
      <c r="F287" s="214" t="s">
        <v>689</v>
      </c>
      <c r="G287" s="260">
        <v>81775.7</v>
      </c>
      <c r="H287" s="285">
        <v>75252.442999999999</v>
      </c>
      <c r="I287" s="273">
        <f t="shared" si="8"/>
        <v>6523.2569999999978</v>
      </c>
      <c r="J287" s="120">
        <f t="shared" si="9"/>
        <v>0.92022988491691304</v>
      </c>
      <c r="L287" s="283">
        <f>G287/G288</f>
        <v>6.5420560418692431E-2</v>
      </c>
      <c r="M287" s="284">
        <f>H287/H288</f>
        <v>6.5088885571419217E-2</v>
      </c>
    </row>
    <row r="288" spans="1:13" x14ac:dyDescent="0.25">
      <c r="A288" s="215" t="s">
        <v>690</v>
      </c>
      <c r="B288" s="216"/>
      <c r="C288" s="216"/>
      <c r="D288" s="216"/>
      <c r="E288" s="216"/>
      <c r="F288" s="217"/>
      <c r="G288" s="260">
        <f>+G286+G287</f>
        <v>1249999.9919999838</v>
      </c>
      <c r="H288" s="260">
        <f>+H286+H287</f>
        <v>1156148.8929999999</v>
      </c>
      <c r="I288" s="273">
        <f t="shared" si="8"/>
        <v>93851.098999983864</v>
      </c>
      <c r="J288" s="120">
        <f t="shared" si="9"/>
        <v>0.9249191203194943</v>
      </c>
    </row>
    <row r="289" spans="1:10" x14ac:dyDescent="0.25">
      <c r="A289" s="218"/>
      <c r="B289" s="219"/>
      <c r="C289" s="220"/>
      <c r="D289" s="220"/>
      <c r="E289" s="221"/>
      <c r="F289" s="222" t="s">
        <v>691</v>
      </c>
      <c r="G289" s="261"/>
      <c r="H289" s="268">
        <v>0.92022987996556294</v>
      </c>
    </row>
    <row r="290" spans="1:10" x14ac:dyDescent="0.25">
      <c r="A290" s="218"/>
      <c r="B290" s="219"/>
      <c r="C290" s="220"/>
      <c r="D290" s="220"/>
      <c r="E290" s="221"/>
      <c r="F290" s="223" t="s">
        <v>692</v>
      </c>
      <c r="G290" s="223"/>
      <c r="H290" s="269">
        <v>0.86002792550418983</v>
      </c>
    </row>
    <row r="291" spans="1:10" ht="51" x14ac:dyDescent="0.25">
      <c r="A291" s="218"/>
      <c r="B291" s="219"/>
      <c r="C291" s="220"/>
      <c r="D291" s="220"/>
      <c r="E291" s="221"/>
      <c r="F291" s="224" t="s">
        <v>693</v>
      </c>
      <c r="G291" s="262" t="s">
        <v>696</v>
      </c>
      <c r="H291" s="138" t="s">
        <v>697</v>
      </c>
      <c r="I291" s="138"/>
      <c r="J291" s="230" t="s">
        <v>711</v>
      </c>
    </row>
    <row r="292" spans="1:10" x14ac:dyDescent="0.25">
      <c r="A292" s="68"/>
      <c r="B292" s="225"/>
      <c r="C292" s="226"/>
      <c r="D292" s="226"/>
      <c r="E292" s="227"/>
      <c r="F292" s="228">
        <v>437502</v>
      </c>
      <c r="G292" s="263">
        <v>1</v>
      </c>
      <c r="H292" s="270" t="s">
        <v>698</v>
      </c>
      <c r="I292" s="270"/>
      <c r="J292" s="255">
        <v>450440.45</v>
      </c>
    </row>
    <row r="293" spans="1:10" ht="38.25" x14ac:dyDescent="0.25">
      <c r="A293" s="218"/>
      <c r="B293" s="219"/>
      <c r="C293" s="226"/>
      <c r="D293" s="226"/>
      <c r="E293" s="227"/>
      <c r="F293" s="228">
        <v>437502</v>
      </c>
      <c r="G293" s="264">
        <v>2.4572113956050483</v>
      </c>
      <c r="H293" s="270" t="s">
        <v>699</v>
      </c>
      <c r="I293" s="270"/>
      <c r="J293" s="255">
        <v>79726.89</v>
      </c>
    </row>
    <row r="294" spans="1:10" ht="38.25" x14ac:dyDescent="0.25">
      <c r="A294" s="218"/>
      <c r="B294" s="219"/>
      <c r="C294" s="226"/>
      <c r="D294" s="226"/>
      <c r="E294" s="227"/>
      <c r="F294" s="229" t="s">
        <v>694</v>
      </c>
      <c r="G294" s="263" t="s">
        <v>176</v>
      </c>
      <c r="H294" s="270" t="s">
        <v>700</v>
      </c>
      <c r="I294" s="270"/>
      <c r="J294" s="255">
        <v>48851.999999999964</v>
      </c>
    </row>
    <row r="295" spans="1:10" ht="38.25" x14ac:dyDescent="0.25">
      <c r="H295" s="270" t="s">
        <v>701</v>
      </c>
      <c r="I295" s="270"/>
      <c r="J295" s="255">
        <v>53582.7</v>
      </c>
    </row>
    <row r="296" spans="1:10" x14ac:dyDescent="0.25">
      <c r="H296" s="270" t="s">
        <v>702</v>
      </c>
      <c r="I296" s="270"/>
      <c r="J296" s="255">
        <v>50668</v>
      </c>
    </row>
    <row r="297" spans="1:10" ht="25.5" x14ac:dyDescent="0.25">
      <c r="H297" s="270" t="s">
        <v>703</v>
      </c>
      <c r="I297" s="270"/>
      <c r="J297" s="255">
        <v>0</v>
      </c>
    </row>
    <row r="298" spans="1:10" ht="38.25" x14ac:dyDescent="0.25">
      <c r="H298" s="271" t="s">
        <v>704</v>
      </c>
      <c r="I298" s="271"/>
      <c r="J298" s="275">
        <v>484954.25199998386</v>
      </c>
    </row>
    <row r="299" spans="1:10" ht="25.5" x14ac:dyDescent="0.25">
      <c r="H299" s="271" t="s">
        <v>705</v>
      </c>
      <c r="I299" s="271"/>
      <c r="J299" s="275">
        <v>0</v>
      </c>
    </row>
    <row r="300" spans="1:10" ht="76.5" x14ac:dyDescent="0.25">
      <c r="H300" s="270" t="s">
        <v>706</v>
      </c>
      <c r="I300" s="270"/>
      <c r="J300" s="255">
        <v>484954.25199998386</v>
      </c>
    </row>
    <row r="301" spans="1:10" ht="38.25" x14ac:dyDescent="0.25">
      <c r="H301" s="272" t="s">
        <v>707</v>
      </c>
      <c r="I301" s="272"/>
      <c r="J301" s="255">
        <v>81775.7</v>
      </c>
    </row>
  </sheetData>
  <autoFilter ref="A1:J301"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26"/>
  <sheetViews>
    <sheetView topLeftCell="A13" workbookViewId="0">
      <selection activeCell="B25" sqref="B25"/>
    </sheetView>
  </sheetViews>
  <sheetFormatPr defaultColWidth="9" defaultRowHeight="15" x14ac:dyDescent="0.25"/>
  <cols>
    <col min="1" max="1" width="9" style="16"/>
    <col min="2" max="2" width="38.85546875" style="17" customWidth="1"/>
    <col min="3" max="3" width="15.28515625" style="16" customWidth="1"/>
    <col min="4" max="4" width="79.5703125" style="16" customWidth="1"/>
    <col min="5" max="16384" width="9" style="16"/>
  </cols>
  <sheetData>
    <row r="2" spans="2:4" ht="15.75" thickBot="1" x14ac:dyDescent="0.3"/>
    <row r="3" spans="2:4" ht="26.25" thickBot="1" x14ac:dyDescent="0.25">
      <c r="B3" s="25" t="s">
        <v>44</v>
      </c>
      <c r="C3" s="26" t="s">
        <v>64</v>
      </c>
      <c r="D3" s="27" t="s">
        <v>45</v>
      </c>
    </row>
    <row r="4" spans="2:4" ht="38.25" x14ac:dyDescent="0.2">
      <c r="B4" s="18" t="s">
        <v>41</v>
      </c>
      <c r="C4" s="19">
        <v>0.12</v>
      </c>
      <c r="D4" s="28" t="s">
        <v>68</v>
      </c>
    </row>
    <row r="5" spans="2:4" ht="38.25" x14ac:dyDescent="0.2">
      <c r="B5" s="20" t="s">
        <v>40</v>
      </c>
      <c r="C5" s="21">
        <v>0.12</v>
      </c>
      <c r="D5" s="28" t="s">
        <v>69</v>
      </c>
    </row>
    <row r="6" spans="2:4" ht="51" x14ac:dyDescent="0.2">
      <c r="B6" s="20" t="s">
        <v>70</v>
      </c>
      <c r="C6" s="21">
        <v>0.15</v>
      </c>
      <c r="D6" s="28" t="s">
        <v>46</v>
      </c>
    </row>
    <row r="7" spans="2:4" ht="63.75" x14ac:dyDescent="0.2">
      <c r="B7" s="20" t="s">
        <v>39</v>
      </c>
      <c r="C7" s="21">
        <v>0.15</v>
      </c>
      <c r="D7" s="28" t="s">
        <v>62</v>
      </c>
    </row>
    <row r="8" spans="2:4" ht="14.25" x14ac:dyDescent="0.2">
      <c r="B8" s="20" t="s">
        <v>71</v>
      </c>
      <c r="C8" s="22">
        <v>1</v>
      </c>
      <c r="D8" s="29" t="s">
        <v>47</v>
      </c>
    </row>
    <row r="9" spans="2:4" ht="63.75" x14ac:dyDescent="0.2">
      <c r="B9" s="20" t="s">
        <v>67</v>
      </c>
      <c r="C9" s="22">
        <v>0.3</v>
      </c>
      <c r="D9" s="28" t="s">
        <v>72</v>
      </c>
    </row>
    <row r="10" spans="2:4" ht="63.75" x14ac:dyDescent="0.2">
      <c r="B10" s="20" t="s">
        <v>38</v>
      </c>
      <c r="C10" s="21">
        <v>0.15</v>
      </c>
      <c r="D10" s="28" t="s">
        <v>61</v>
      </c>
    </row>
    <row r="11" spans="2:4" ht="76.5" x14ac:dyDescent="0.2">
      <c r="B11" s="20" t="s">
        <v>37</v>
      </c>
      <c r="C11" s="21">
        <v>0.15</v>
      </c>
      <c r="D11" s="28" t="s">
        <v>60</v>
      </c>
    </row>
    <row r="12" spans="2:4" ht="38.25" x14ac:dyDescent="0.2">
      <c r="B12" s="20" t="s">
        <v>36</v>
      </c>
      <c r="C12" s="21">
        <v>0.15</v>
      </c>
      <c r="D12" s="28" t="s">
        <v>63</v>
      </c>
    </row>
    <row r="13" spans="2:4" ht="25.5" x14ac:dyDescent="0.2">
      <c r="B13" s="20" t="s">
        <v>35</v>
      </c>
      <c r="C13" s="22">
        <v>0.15</v>
      </c>
      <c r="D13" s="28" t="s">
        <v>59</v>
      </c>
    </row>
    <row r="14" spans="2:4" ht="25.5" x14ac:dyDescent="0.2">
      <c r="B14" s="20" t="s">
        <v>34</v>
      </c>
      <c r="C14" s="22">
        <v>0.15</v>
      </c>
      <c r="D14" s="28" t="s">
        <v>58</v>
      </c>
    </row>
    <row r="15" spans="2:4" ht="25.5" x14ac:dyDescent="0.2">
      <c r="B15" s="20" t="s">
        <v>33</v>
      </c>
      <c r="C15" s="22">
        <v>0.15</v>
      </c>
      <c r="D15" s="28" t="s">
        <v>57</v>
      </c>
    </row>
    <row r="16" spans="2:4" ht="25.5" x14ac:dyDescent="0.2">
      <c r="B16" s="20" t="s">
        <v>32</v>
      </c>
      <c r="C16" s="22">
        <v>0.15</v>
      </c>
      <c r="D16" s="28" t="s">
        <v>56</v>
      </c>
    </row>
    <row r="17" spans="2:4" ht="25.5" x14ac:dyDescent="0.2">
      <c r="B17" s="20" t="s">
        <v>31</v>
      </c>
      <c r="C17" s="22">
        <v>0.15</v>
      </c>
      <c r="D17" s="28" t="s">
        <v>55</v>
      </c>
    </row>
    <row r="18" spans="2:4" ht="25.5" x14ac:dyDescent="0.2">
      <c r="B18" s="20" t="s">
        <v>30</v>
      </c>
      <c r="C18" s="22">
        <v>0.15</v>
      </c>
      <c r="D18" s="28" t="s">
        <v>49</v>
      </c>
    </row>
    <row r="19" spans="2:4" ht="25.5" x14ac:dyDescent="0.2">
      <c r="B19" s="20" t="s">
        <v>29</v>
      </c>
      <c r="C19" s="22">
        <v>0.15</v>
      </c>
      <c r="D19" s="28" t="s">
        <v>50</v>
      </c>
    </row>
    <row r="20" spans="2:4" ht="38.25" x14ac:dyDescent="0.2">
      <c r="B20" s="20" t="s">
        <v>28</v>
      </c>
      <c r="C20" s="22">
        <v>0.15</v>
      </c>
      <c r="D20" s="28" t="s">
        <v>51</v>
      </c>
    </row>
    <row r="21" spans="2:4" ht="25.5" x14ac:dyDescent="0.2">
      <c r="B21" s="20" t="s">
        <v>73</v>
      </c>
      <c r="C21" s="22">
        <v>0.15</v>
      </c>
      <c r="D21" s="28" t="s">
        <v>52</v>
      </c>
    </row>
    <row r="22" spans="2:4" ht="25.5" x14ac:dyDescent="0.2">
      <c r="B22" s="20" t="s">
        <v>27</v>
      </c>
      <c r="C22" s="22">
        <v>0.15</v>
      </c>
      <c r="D22" s="28" t="s">
        <v>48</v>
      </c>
    </row>
    <row r="23" spans="2:4" ht="14.25" x14ac:dyDescent="0.2">
      <c r="B23" s="20" t="s">
        <v>26</v>
      </c>
      <c r="C23" s="22">
        <v>0.15</v>
      </c>
      <c r="D23" s="28" t="s">
        <v>53</v>
      </c>
    </row>
    <row r="24" spans="2:4" ht="25.5" x14ac:dyDescent="0.2">
      <c r="B24" s="20" t="s">
        <v>25</v>
      </c>
      <c r="C24" s="22">
        <v>0.15</v>
      </c>
      <c r="D24" s="28" t="s">
        <v>54</v>
      </c>
    </row>
    <row r="25" spans="2:4" ht="25.5" x14ac:dyDescent="0.2">
      <c r="B25" s="20" t="s">
        <v>24</v>
      </c>
      <c r="C25" s="22">
        <v>1</v>
      </c>
      <c r="D25" s="28" t="s">
        <v>65</v>
      </c>
    </row>
    <row r="26" spans="2:4" thickBot="1" x14ac:dyDescent="0.25">
      <c r="B26" s="23" t="s">
        <v>23</v>
      </c>
      <c r="C26" s="24">
        <v>1</v>
      </c>
      <c r="D26" s="30" t="s">
        <v>66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category</vt:lpstr>
      <vt:lpstr>Project budget by outcome</vt:lpstr>
      <vt:lpstr>BFU Report up to 31.10.20</vt:lpstr>
      <vt:lpstr>Description of roles</vt:lpstr>
      <vt:lpstr>'Project budget by outcome'!Print_Area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Zelenovic</dc:creator>
  <cp:lastModifiedBy>Sophie Marie Guylene Aloe</cp:lastModifiedBy>
  <cp:lastPrinted>2019-05-09T13:31:52Z</cp:lastPrinted>
  <dcterms:created xsi:type="dcterms:W3CDTF">2017-11-15T21:17:43Z</dcterms:created>
  <dcterms:modified xsi:type="dcterms:W3CDTF">2021-01-20T15:25:52Z</dcterms:modified>
</cp:coreProperties>
</file>