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000. UN PBF YPI 2018\10. Progress Reporting\Progress report 2 - 15 November 2019\Final versions\"/>
    </mc:Choice>
  </mc:AlternateContent>
  <bookViews>
    <workbookView xWindow="0" yWindow="0" windowWidth="20490" windowHeight="7050" activeTab="1"/>
  </bookViews>
  <sheets>
    <sheet name="Cost category" sheetId="2" r:id="rId1"/>
    <sheet name="Project budget by outcome" sheetId="11" r:id="rId2"/>
    <sheet name="Description of roles" sheetId="12" state="hidden" r:id="rId3"/>
  </sheets>
  <definedNames>
    <definedName name="_xlnm.Print_Area" localSheetId="1">'Project budget by outcome'!$A$1:$H$90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1" l="1"/>
  <c r="G69" i="11"/>
  <c r="G76" i="11"/>
  <c r="G8" i="2" l="1"/>
  <c r="D32" i="11" l="1"/>
  <c r="G16" i="2" l="1"/>
  <c r="G10" i="2"/>
  <c r="G11" i="2"/>
  <c r="G12" i="2"/>
  <c r="G14" i="2"/>
  <c r="F76" i="11"/>
  <c r="D76" i="11"/>
  <c r="G23" i="11"/>
  <c r="H15" i="2"/>
  <c r="C76" i="11"/>
  <c r="C39" i="11"/>
  <c r="C54" i="11"/>
  <c r="C55" i="11"/>
  <c r="C56" i="11"/>
  <c r="F15" i="2"/>
  <c r="F17" i="2" s="1"/>
  <c r="D16" i="2"/>
  <c r="C15" i="11"/>
  <c r="C12" i="11"/>
  <c r="C10" i="11"/>
  <c r="D10" i="2"/>
  <c r="B10" i="2"/>
  <c r="C10" i="2"/>
  <c r="B16" i="2"/>
  <c r="C16" i="2"/>
  <c r="D14" i="2"/>
  <c r="C14" i="2"/>
  <c r="B14" i="2"/>
  <c r="D12" i="2"/>
  <c r="C12" i="2"/>
  <c r="B12" i="2"/>
  <c r="D11" i="2"/>
  <c r="C11" i="2"/>
  <c r="B11" i="2"/>
  <c r="E9" i="2"/>
  <c r="G9" i="2" s="1"/>
  <c r="D8" i="2"/>
  <c r="C8" i="2"/>
  <c r="B8" i="2"/>
  <c r="C73" i="11"/>
  <c r="C69" i="11" s="1"/>
  <c r="C20" i="11"/>
  <c r="C29" i="11"/>
  <c r="C26" i="11" s="1"/>
  <c r="C28" i="11"/>
  <c r="C27" i="11"/>
  <c r="C25" i="11"/>
  <c r="C24" i="11"/>
  <c r="C23" i="11" s="1"/>
  <c r="C19" i="11"/>
  <c r="C18" i="11"/>
  <c r="C14" i="11"/>
  <c r="C16" i="11"/>
  <c r="C11" i="11"/>
  <c r="C9" i="11" s="1"/>
  <c r="B9" i="2"/>
  <c r="B15" i="2" s="1"/>
  <c r="B17" i="2" s="1"/>
  <c r="F69" i="11"/>
  <c r="F90" i="11" s="1"/>
  <c r="F92" i="11" s="1"/>
  <c r="H69" i="11"/>
  <c r="H76" i="11"/>
  <c r="D13" i="2"/>
  <c r="C13" i="2"/>
  <c r="B13" i="2"/>
  <c r="B30" i="11"/>
  <c r="C30" i="11" l="1"/>
  <c r="H90" i="11"/>
  <c r="H92" i="11" s="1"/>
  <c r="C17" i="11"/>
  <c r="C13" i="11"/>
  <c r="C21" i="11" s="1"/>
  <c r="G90" i="11"/>
  <c r="C32" i="11"/>
  <c r="C90" i="11" s="1"/>
  <c r="D9" i="2"/>
  <c r="D15" i="2" s="1"/>
  <c r="D17" i="2" s="1"/>
  <c r="E15" i="2"/>
  <c r="E17" i="2" s="1"/>
  <c r="C9" i="2"/>
  <c r="C15" i="2" s="1"/>
  <c r="C17" i="2" s="1"/>
  <c r="C31" i="11" l="1"/>
  <c r="C92" i="11" s="1"/>
  <c r="G13" i="11" l="1"/>
  <c r="G17" i="11"/>
  <c r="G9" i="11"/>
  <c r="G21" i="11" l="1"/>
  <c r="G31" i="11" s="1"/>
  <c r="G92" i="11" s="1"/>
  <c r="G26" i="11" l="1"/>
</calcChain>
</file>

<file path=xl/sharedStrings.xml><?xml version="1.0" encoding="utf-8"?>
<sst xmlns="http://schemas.openxmlformats.org/spreadsheetml/2006/main" count="244" uniqueCount="197">
  <si>
    <t>Annex D - PBF project budget</t>
  </si>
  <si>
    <t>Outcome/ Output number</t>
  </si>
  <si>
    <t>Outcome/ output/ activity formulation:</t>
  </si>
  <si>
    <t>Indirect support costs (7%):</t>
  </si>
  <si>
    <t>TOTAL PROJECT BUDGET:</t>
  </si>
  <si>
    <t>Any remarks (e.g. on types of inputs provided or budget justification, for example if high TA or travel costs)</t>
  </si>
  <si>
    <t>CATEGORIES</t>
  </si>
  <si>
    <t>TOTAL</t>
  </si>
  <si>
    <t>1. Staff and other personnel</t>
  </si>
  <si>
    <t>2. Supplies, Commodities, Materials</t>
  </si>
  <si>
    <t>3. Equipment, Vehicles, and Furniture (including Depreciation)</t>
  </si>
  <si>
    <t>4. Contractual services</t>
  </si>
  <si>
    <t>5.Travel</t>
  </si>
  <si>
    <t>6. Transfers and Grants to Counterparts</t>
  </si>
  <si>
    <t>7. General Operating and other Direct Costs</t>
  </si>
  <si>
    <t>Sub-Total Project Costs</t>
  </si>
  <si>
    <t>8. Indirect Support Costs (must be 7%)</t>
  </si>
  <si>
    <t>PROJECT TOTAL</t>
  </si>
  <si>
    <t>Note: If this is a budget revision, insert extra columns to show budget changes.</t>
  </si>
  <si>
    <t>Table 2 - PBF project budget by UN cost category</t>
  </si>
  <si>
    <t>Table 1 - PBF project budget by Outcome, output and activity</t>
  </si>
  <si>
    <t>Level of expenditure/ commitments in USD (to provide at time of project progress reporting):</t>
  </si>
  <si>
    <t>Medical fees</t>
  </si>
  <si>
    <t>10 Construction field agents  (service contract for 45 days only)</t>
  </si>
  <si>
    <t xml:space="preserve"> 3 M&amp;E agents </t>
  </si>
  <si>
    <t>Supports Staff Office and Guest (cleaners, gardners - Goma/Beni)</t>
  </si>
  <si>
    <t>Cook Beni</t>
  </si>
  <si>
    <t>Drivers - Goma, Beni, Kin</t>
  </si>
  <si>
    <t>Safety Officer - Beni</t>
  </si>
  <si>
    <t>Logistics Team Leader - Goma</t>
  </si>
  <si>
    <t>Admin Fin Assistant - Goma</t>
  </si>
  <si>
    <t>Logistic Manager</t>
  </si>
  <si>
    <t>Logistic Assistant Beni</t>
  </si>
  <si>
    <t>Logistic Team Leader - Beni</t>
  </si>
  <si>
    <t xml:space="preserve">Admin Assistant SMT (Kin) </t>
  </si>
  <si>
    <t>Admin-HR Officer Base Beni</t>
  </si>
  <si>
    <t>Programme Development and Quality Manager - A15</t>
  </si>
  <si>
    <t>Area Manager Petit Nord Kivu - A14</t>
  </si>
  <si>
    <t>Safety Advisor - A14</t>
  </si>
  <si>
    <t>Area Manager Grand Nord Kivu - A14</t>
  </si>
  <si>
    <t>Head of Support Services - A10</t>
  </si>
  <si>
    <t>Country Director - A8</t>
  </si>
  <si>
    <t xml:space="preserve">TOTAL $ FOR OUTCOME 1: </t>
  </si>
  <si>
    <t>Sub-total</t>
  </si>
  <si>
    <t>Postion Titles</t>
  </si>
  <si>
    <t>Description of Roles</t>
  </si>
  <si>
    <t>Ensures that all programmes are implemented as planned, activities are implemented in line and compliant with sectors strategies, ensuring proper implementation as per DRC, CHS and SPHERE standards - We estimate that the HoP shares time between programme and it is estimated that 12% of her time will be past on this programme.</t>
  </si>
  <si>
    <t xml:space="preserve">Takes the leadership of the project in all aspect. This position is dedicated. </t>
  </si>
  <si>
    <t>Share their time between different projects implemented in the area, supporting both programme and support activties.</t>
  </si>
  <si>
    <t>Oversees all finance activities in the country - it is estimated that he will share 15% of his time on this particular project</t>
  </si>
  <si>
    <t>Supervise all logistic acitvities in Massisi and Nyragongo territory (Fleets, purchase, warehouse) -  shares his time between different projects implemented in the area.</t>
  </si>
  <si>
    <t>Analyses security and safety situation, provides information to the SA and advise the AM Beni. He is also work on access and acceptance with communities and armed groups -  shares his time between different projects implemented in the area.</t>
  </si>
  <si>
    <t>Does all necessary activties to ensure stocks management and compliancy - shares his time between different projects implemented in the area.</t>
  </si>
  <si>
    <t>Shares his time between different projects implemented in the area.</t>
  </si>
  <si>
    <t>Guest House and Offices cleaners, garders for both Béni, Goma and Country Office - shares his time between different projects implemented in the area.</t>
  </si>
  <si>
    <t>Oversees all logistic activities in the country - -  shares his time between different programme, it ihs estimated that he will share 15% of his time on this particular project</t>
  </si>
  <si>
    <t>Ensures fleet mangement and procurement - -  shares his time between different projects implemented in the area.</t>
  </si>
  <si>
    <t>Supervise all logistic acitvities in Beni territory (Fleets, purchase, warehouse) -  shares his time between different projects implemented in the area.</t>
  </si>
  <si>
    <t xml:space="preserve">Support all administrative tasks in regard to Administration and Human Resources. This particular position his dedicated to the Senior Management Team. </t>
  </si>
  <si>
    <t>Support all administrative tasks in regard to Administration and Human Resources -  shares his time between different projects implemented in the area.</t>
  </si>
  <si>
    <t>Leads area activities and create results which impacts the area, enables and oversees the implementation of policies or activities of short-term and operational nature within the area of operation and enables a productive and accountable relationship with beneficiaries, communities’ leaders/representatives, relevant governmental authorities, NGOs, and UN Agencies  as well as represents DRC in some coordination fora, in absence of the Country Director - The Area Manager shares his time between different projects</t>
  </si>
  <si>
    <t xml:space="preserve">Responsible for the development and implementation of the DRC Safety Risk Management System (SRMS), in close cooperation with Senior Management and Safety Focal Points - the SA works in collabortion with the Country Director and Area Manager to ensure proper understanding of the context, minimize risks and worsk on prevention/response of safety incident. The percentage of time his estimate in relation of the complexity and risks of the activities in the area. </t>
  </si>
  <si>
    <t>Leads area activities and create results which impacts the area, enables and oversees the implementation of policies or activities of short-term and operational nature within the area of operation and enables a productive and accountable relationship with beneficiaries, communities’ leaders/representatives, relevant governmental authorities, NGOs, and UN Agencies - The Area Manager shares his time between different projects</t>
  </si>
  <si>
    <t>contributes to leading, coordinating and supporting the design, development and implementation of all PDQM related activities in DRC - It is estimated that the PDQM will share 15% of her time on this particular project.</t>
  </si>
  <si>
    <t>% Contribution to Project</t>
  </si>
  <si>
    <t>Implement qualitative and quantitative monitoring of the projects, including partners project - They will be all dedicated to the project</t>
  </si>
  <si>
    <t xml:space="preserve">Supervise cash for work activities. </t>
  </si>
  <si>
    <t>Livelihoods Coordinator - A14</t>
  </si>
  <si>
    <t>Overall representation with local and national authorities, representation in coordination mechanism to facilitate implementation - the Country Director shares time between programme and it is estimated that 12% of her time will be spent on this programme.</t>
  </si>
  <si>
    <t>Oversees the quality and compliance of all support activities for implementing the programmes - the HoSS shares time between programme and it is estimated that 12% of his time will be spent on this programme.</t>
  </si>
  <si>
    <t>Head of Programmes - A10</t>
  </si>
  <si>
    <t>Peacebuilding Project Manager - A16</t>
  </si>
  <si>
    <t xml:space="preserve">Responsible for developing context sensitive strategies and implementing the relevant project component of DRC's programs in the area and provides technical expertise on program development in all relevant projects - This position is share between project touching this specific sector. It is estimated that the Livelihood Coordinator will be working on 3 projects and will spend 30% of his/her time on this project. </t>
  </si>
  <si>
    <t>Warehouse Assistant - Béni</t>
  </si>
  <si>
    <t xml:space="preserve">Admin Assistant SMT (Kinshasa) </t>
  </si>
  <si>
    <t>Independent Evaluation</t>
  </si>
  <si>
    <t>Specialist Admin RH</t>
  </si>
  <si>
    <t>Specialist Finance</t>
  </si>
  <si>
    <t>Amount Recipient DRC-DDG</t>
  </si>
  <si>
    <t>Tranche 1 (35%)</t>
  </si>
  <si>
    <t>Tranche 2 (35%)</t>
  </si>
  <si>
    <t>Tranche 3 (30%)</t>
  </si>
  <si>
    <t>Output 1.1:</t>
  </si>
  <si>
    <t>OUTCOME 1: Young women and men of Masisi and Beni are integrated into the community democratic dialogue processes and actively participate in the reduction of violence and inter/intracommunity conflicts</t>
  </si>
  <si>
    <t>Activity 1.1.1</t>
  </si>
  <si>
    <t>Activity 1.1.2</t>
  </si>
  <si>
    <t>Activity 1.1.3</t>
  </si>
  <si>
    <t>Output 1.2</t>
  </si>
  <si>
    <t>Activity 1.2.1</t>
  </si>
  <si>
    <t>Activity 1.2.2</t>
  </si>
  <si>
    <t>Activity 1.2.3</t>
  </si>
  <si>
    <t>Output 1.3</t>
  </si>
  <si>
    <t>Activity 1.3.1</t>
  </si>
  <si>
    <t>Activity 1.3.2</t>
  </si>
  <si>
    <t>Activity 1.3.3</t>
  </si>
  <si>
    <t>OUTCOME 2:Young women and men understand their economic and professional environments and are capable of identifying opportunities</t>
  </si>
  <si>
    <t>Output 2.1</t>
  </si>
  <si>
    <t>Activity 2.1.1</t>
  </si>
  <si>
    <t>Activity 2.1.2</t>
  </si>
  <si>
    <t>Output 2.2</t>
  </si>
  <si>
    <t>Activity 2.2.1</t>
  </si>
  <si>
    <t>Activity 2.2.2</t>
  </si>
  <si>
    <t>Activity 2.2.3</t>
  </si>
  <si>
    <t>Budget DRC-DDG in USD $</t>
  </si>
  <si>
    <t>Young women and men are engaged within their community and intergenerational and intercommunity trust is established and/or reinforced</t>
  </si>
  <si>
    <t>Establish a community democratic dialogue process that is inclusive of young women and men to discuss the role of youth in community governance and peacebuilding</t>
  </si>
  <si>
    <t>Raise community awareness on human and womens’ rights</t>
  </si>
  <si>
    <t>Revitalise and/or rehabilitate youth centres and/or community cultural centres to enable young women and men to benefit from a safe space for collaboration, debate, recreational and artistic activities</t>
  </si>
  <si>
    <t>Young women and men actively participate in the management, mediation and prevention of intra- and intercommunity conflicts</t>
  </si>
  <si>
    <t xml:space="preserve"> Train YPCs in civic education, non-violent communication, peaceful conflict resolution and management techniques</t>
  </si>
  <si>
    <t>Organise community forums on the themes of gender roles, women’s empowerment and “positive masculinity” in connection to violence and conflict reduction</t>
  </si>
  <si>
    <t>Support YPCs in dispensing training on peaceful conflict resolution and management techniques in schools of target locations</t>
  </si>
  <si>
    <t>Young women and men fight against discourses of hate, and are able to critically analyse public political messages, and work together to advocate for violence prevention and reduction</t>
  </si>
  <si>
    <t>Provide the tools and enhance young women and men’s capacity to critically analyse political and media messages conveying violence and/or racial or gender-based stigma and encourage YPC-YPC to undertake monthly collaborative analysis through meetings</t>
  </si>
  <si>
    <t>Provide training to young women and men on communication and advocacy techniques to promote positive peace messages and convey their priorities and demands at community, local and provincial levels</t>
  </si>
  <si>
    <t>Broadcast through Pole FM YPC interventions (sensitization messages, debates etc.) on youth’s key role in peacebuilding, reconciliation and their involvement in the management of conflicts in their communities</t>
  </si>
  <si>
    <t>Young women and men understand their economic and professional environments and are capable of identifying opportunities</t>
  </si>
  <si>
    <t>Conduct labour market assessments in Masisi and Beni</t>
  </si>
  <si>
    <t>Support young women and men in identifying areas of pertinent professional interest and assist in formulating individualised plans for economic resilience</t>
  </si>
  <si>
    <t>Members of the YPCs implement their professional and/or training plans</t>
  </si>
  <si>
    <t>Support YPC members in the elaboration of their “economic resilience and empowerment” action plans</t>
  </si>
  <si>
    <t>Assist in the organization of mutual aid and/or networking sessions through working groups and skills-sharing sessions</t>
  </si>
  <si>
    <t>Support YPC members in the implementation of their “economic resilience and empowerment” action plans through training activities, mentorship and apprenticeship opportunities</t>
  </si>
  <si>
    <t xml:space="preserve">TOTAL $ FOR OUTCOME 2: </t>
  </si>
  <si>
    <t>TOTAL FOR ACTIVITIES</t>
  </si>
  <si>
    <t>Percent of budget for each output reserved for direct action on gender equality (if any):</t>
  </si>
  <si>
    <t>M&amp;E budget</t>
  </si>
  <si>
    <t>Country Director</t>
  </si>
  <si>
    <t>Head of Support Services</t>
  </si>
  <si>
    <t>Safety Advisor</t>
  </si>
  <si>
    <t>Logistician</t>
  </si>
  <si>
    <t>Baseline Assessment</t>
  </si>
  <si>
    <t>Endline Evaluation</t>
  </si>
  <si>
    <t>Financial Audit</t>
  </si>
  <si>
    <t>Project operational costs</t>
  </si>
  <si>
    <t>Project personnel costs</t>
  </si>
  <si>
    <t>Bank fees</t>
  </si>
  <si>
    <t>Legal fees</t>
  </si>
  <si>
    <t>IT (software, internet, computers)</t>
  </si>
  <si>
    <t>Telecommunications (phone, satellite, radio)</t>
  </si>
  <si>
    <t>Rent (offices, sub-offices, guesthouse)</t>
  </si>
  <si>
    <t>Private security (guards)</t>
  </si>
  <si>
    <t>Area Manager Grand Nord Kivu (GNK)</t>
  </si>
  <si>
    <t>Area Manager Petit Nord Kivu (PNK)</t>
  </si>
  <si>
    <t>Deputy  Director - RO</t>
  </si>
  <si>
    <t>Security Advisor - RO</t>
  </si>
  <si>
    <t>Admin/HR Team Leader Base (Beni)</t>
  </si>
  <si>
    <t>Logistics Team Leader (Beni)</t>
  </si>
  <si>
    <t>Logistics Assistant (Beni)</t>
  </si>
  <si>
    <t>Logistics Specialist CO</t>
  </si>
  <si>
    <t>Admin/Finance Assistant (Goma)</t>
  </si>
  <si>
    <t>Logistics Team Leader (Goma)</t>
  </si>
  <si>
    <t>Safety Officer (Beni)</t>
  </si>
  <si>
    <t>Warehouse Assitant (Beni)</t>
  </si>
  <si>
    <t>Drivers (Goma, Beni, Kinshasa)</t>
  </si>
  <si>
    <t>Cook (Beni)</t>
  </si>
  <si>
    <t>Grants Manager RO</t>
  </si>
  <si>
    <t>Monitoring, Evaluation, Learning and Communications Coordinator RO</t>
  </si>
  <si>
    <t>Deputy Head of Support Services RO</t>
  </si>
  <si>
    <t>DRC-DDG</t>
  </si>
  <si>
    <t>Pole Institute</t>
  </si>
  <si>
    <t>Support Staff for Office and Guesthouse (cleaners, gardners - Goma/Beni)</t>
  </si>
  <si>
    <t>Directeur</t>
  </si>
  <si>
    <t>Chargé des Finances</t>
  </si>
  <si>
    <t>Assistant Finances</t>
  </si>
  <si>
    <t>ASP</t>
  </si>
  <si>
    <t>SOFEPADI</t>
  </si>
  <si>
    <t>Secrétaire Exécutif (Directeur ASP)</t>
  </si>
  <si>
    <t>Administrateur Finances</t>
  </si>
  <si>
    <t>Coordinatrice</t>
  </si>
  <si>
    <t>Comptable</t>
  </si>
  <si>
    <t>Caissière</t>
  </si>
  <si>
    <t>Frais Médicaux</t>
  </si>
  <si>
    <t>M&amp;E Outils de Collecte de Données</t>
  </si>
  <si>
    <t>DRC-DDG UNPBF Assistant MEAL</t>
  </si>
  <si>
    <t>Beneficiary targeting process</t>
  </si>
  <si>
    <t>n/a</t>
  </si>
  <si>
    <t>Budget change % variation (within the 15% margin stipulated in the guidelines)</t>
  </si>
  <si>
    <t>Project presentation and accountability towards beneficaries and communities</t>
  </si>
  <si>
    <t>Budget changes
(Note to File - 
15 Nov 2019)</t>
  </si>
  <si>
    <t xml:space="preserve">Estimated expenditures (01 Jan-15 Nov 2019)
</t>
  </si>
  <si>
    <t xml:space="preserve">Contractual budget </t>
  </si>
  <si>
    <t>Budget revision</t>
  </si>
  <si>
    <t>Les montants ci-contre sont inclus à titre indicatifs de l'état des dépenses établies par les données financières disponibles jusqu'en date du rapport de progrès du 15 Novembre 2019, et ayant été précédemment sur la même ligne budgétaire (c.f. version contractuelle pour référence), la désagrégation des dépenses, et consolidation de certains coûts est encore en cours d'affinage.</t>
  </si>
  <si>
    <t>DRC-DDG Chef d'Equipe MEAL</t>
  </si>
  <si>
    <t>DRC-DDG Spécialiste Redevabilité CoC &amp; CHS</t>
  </si>
  <si>
    <t>DRC-DDG UNPBF Stagiaire MEAL</t>
  </si>
  <si>
    <t>Pole Institute Chargé MEAL</t>
  </si>
  <si>
    <t>ASP Chargé MEAL</t>
  </si>
  <si>
    <t>Budget changes
(15 June 2019)</t>
  </si>
  <si>
    <t>Budget changes
(15 November 2019)</t>
  </si>
  <si>
    <t>Afin d'appuyer l'Assistant MEAL UNPBF de DRC-DDG dans le suivi des activités du projet, et particulièrement au niveau de la saisie des données des partenaires, il est prévu qu'un/e stagiaire soit recruté/e. Les fonds pour ce poste sont pris de la ligne budgétaire (catégorie de coût 1) relative au poste de Chargé Finance &amp; Logistique, étant donné que le recrutement de ce dernier avait été retardé de plusieurs mois. L'attribution du montant de ce stage au chapitre MEAL (catégorie de coût 7) du budget n'impacte pas sur l'ensemble du budget, et créé une variation de moins de -1% du budget de la catégorie de coût initiale (c.f. feuille "Cost category" de cet Annexe Financier). Le salaire brut total prévu pour ce poste est d'un montant total de 2800$.</t>
  </si>
  <si>
    <t>Loyers des bureaux et guesthouse de tous les partenaires incluant les services d'eau et d'électricité pour ces locaux.</t>
  </si>
  <si>
    <t>Frais bancaires liés aux transferts et gestion de comptes de tous les partenaires.</t>
  </si>
  <si>
    <t>45.2% des participants femmes</t>
  </si>
  <si>
    <t>46.4% de participants femmes</t>
  </si>
  <si>
    <t>Compte tenu des catégories fixes du format présent, les coûts ont été ventilés en fonction des activités en cours d'implémentation  (coûts activités + coûts programmatiques globaux + coûts support globaux) et celles actuellement en phase préparatoire (coûts programmatiques globaux + coûts support globaux) - telles que détaillées dans les sections narratives du deuxième rapport de progrès annuel (15 Novembre 2019)
 Les coûts mentionnés dans la feuille "Cost category" offre une vision plus précise des dépenses et engagements en cours pour la période de Janvier à Novembre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</si>
</sst>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_-* #,##0.00_-;\-* #,##0.00_-;_-* &quot;-&quot;??_-;_-@_-"/>
    <numFmt numFmtId="165" formatCode="_-* #,##0_-;\-* #,##0_-;_-* &quot;-&quot;??_-;_-@_-"/>
    <numFmt numFmtId="166" formatCode="_-[$$-409]* #,##0.00_ ;_-[$$-409]* \-#,##0.00\ ;_-[$$-409]* &quot;-&quot;??_ ;_-@_ "/>
    <numFmt numFmtId="167" formatCode="_-[$$-409]* #,##0.0_ ;_-[$$-409]* \-#,##0.0\ ;_-[$$-409]* &quot;-&quot;??_ ;_-@_ "/>
  </numFmts>
  <fonts count="26" x14ac:knownFonts="1">
    <font>
      <sz val="11"/>
      <color theme="1"/>
      <name val="Calibri"/>
      <family val="2"/>
      <scheme val="minor"/>
    </font>
    <font>
      <sz val="12"/>
      <color theme="1"/>
      <name val="Times New Roman"/>
      <family val="1"/>
    </font>
    <font>
      <b/>
      <sz val="12"/>
      <color theme="1"/>
      <name val="Times New Roman"/>
      <family val="1"/>
    </font>
    <font>
      <b/>
      <sz val="12"/>
      <color theme="1"/>
      <name val="Calibri"/>
      <family val="2"/>
      <scheme val="minor"/>
    </font>
    <font>
      <b/>
      <sz val="10"/>
      <color theme="1"/>
      <name val="Calibri"/>
      <family val="2"/>
    </font>
    <font>
      <sz val="10"/>
      <color theme="1"/>
      <name val="Calibri"/>
      <family val="2"/>
    </font>
    <font>
      <b/>
      <sz val="11"/>
      <color theme="1"/>
      <name val="Calibri"/>
      <family val="2"/>
      <scheme val="minor"/>
    </font>
    <font>
      <b/>
      <sz val="16"/>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0"/>
      <name val="Calibri"/>
      <family val="2"/>
      <scheme val="minor"/>
    </font>
    <font>
      <sz val="12"/>
      <color theme="1"/>
      <name val="Calibri"/>
      <family val="2"/>
      <scheme val="minor"/>
    </font>
    <font>
      <sz val="11"/>
      <color theme="1"/>
      <name val="Arial"/>
      <family val="2"/>
    </font>
    <font>
      <b/>
      <sz val="11"/>
      <color theme="1"/>
      <name val="Arial"/>
      <family val="2"/>
    </font>
    <font>
      <b/>
      <sz val="12"/>
      <color theme="0"/>
      <name val="Times New Roman"/>
      <family val="1"/>
    </font>
    <font>
      <b/>
      <sz val="12"/>
      <color theme="0"/>
      <name val="Calibri"/>
      <family val="2"/>
      <scheme val="minor"/>
    </font>
    <font>
      <b/>
      <i/>
      <sz val="11"/>
      <color theme="1"/>
      <name val="Calibri"/>
      <family val="2"/>
      <scheme val="minor"/>
    </font>
    <font>
      <sz val="10"/>
      <name val="Calibri"/>
      <family val="2"/>
      <scheme val="minor"/>
    </font>
    <font>
      <sz val="12"/>
      <name val="Times New Roman"/>
      <family val="1"/>
    </font>
    <font>
      <sz val="12"/>
      <color rgb="FFFF0000"/>
      <name val="Times New Roman"/>
      <family val="1"/>
    </font>
    <font>
      <b/>
      <sz val="12"/>
      <color rgb="FFFF0000"/>
      <name val="Times New Roman"/>
      <family val="1"/>
    </font>
    <font>
      <sz val="12"/>
      <color theme="0"/>
      <name val="Times New Roman"/>
      <family val="1"/>
    </font>
    <font>
      <b/>
      <sz val="10"/>
      <name val="Calibri"/>
      <family val="2"/>
    </font>
    <font>
      <b/>
      <sz val="12"/>
      <name val="Times New Roman"/>
      <family val="1"/>
    </font>
    <font>
      <sz val="16"/>
      <color rgb="FFFF0000"/>
      <name val="Calibri"/>
      <family val="2"/>
      <scheme val="minor"/>
    </font>
  </fonts>
  <fills count="16">
    <fill>
      <patternFill patternType="none"/>
    </fill>
    <fill>
      <patternFill patternType="gray125"/>
    </fill>
    <fill>
      <patternFill patternType="solid">
        <fgColor rgb="FFB3B3B3"/>
        <bgColor indexed="64"/>
      </patternFill>
    </fill>
    <fill>
      <patternFill patternType="solid">
        <fgColor rgb="FFBFBFBF"/>
        <bgColor indexed="64"/>
      </patternFill>
    </fill>
    <fill>
      <patternFill patternType="solid">
        <fgColor rgb="FFD9D9D9"/>
        <bgColor indexed="64"/>
      </patternFill>
    </fill>
    <fill>
      <patternFill patternType="solid">
        <fgColor rgb="FFC00000"/>
        <bgColor indexed="64"/>
      </patternFill>
    </fill>
    <fill>
      <patternFill patternType="solid">
        <fgColor rgb="FF80000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2" tint="-0.249977111117893"/>
        <bgColor indexed="64"/>
      </patternFill>
    </fill>
    <fill>
      <patternFill patternType="lightUp">
        <fgColor theme="0" tint="-0.24994659260841701"/>
        <bgColor indexed="65"/>
      </patternFill>
    </fill>
    <fill>
      <patternFill patternType="lightUp">
        <fgColor theme="0" tint="-0.499984740745262"/>
        <bgColor rgb="FFD9D9D9"/>
      </patternFill>
    </fill>
    <fill>
      <patternFill patternType="solid">
        <fgColor theme="2" tint="-0.749992370372631"/>
        <bgColor indexed="64"/>
      </patternFill>
    </fill>
    <fill>
      <patternFill patternType="solid">
        <fgColor theme="2" tint="-0.89999084444715716"/>
        <bgColor indexed="64"/>
      </patternFill>
    </fill>
    <fill>
      <patternFill patternType="solid">
        <fgColor theme="2" tint="-0.49998474074526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style="medium">
        <color indexed="64"/>
      </left>
      <right/>
      <top/>
      <bottom style="medium">
        <color indexed="64"/>
      </bottom>
      <diagonal/>
    </border>
    <border>
      <left/>
      <right/>
      <top style="medium">
        <color indexed="64"/>
      </top>
      <bottom/>
      <diagonal/>
    </border>
    <border>
      <left style="thin">
        <color auto="1"/>
      </left>
      <right/>
      <top/>
      <bottom style="thin">
        <color auto="1"/>
      </bottom>
      <diagonal/>
    </border>
    <border>
      <left style="medium">
        <color indexed="64"/>
      </left>
      <right style="medium">
        <color indexed="64"/>
      </right>
      <top style="medium">
        <color indexed="64"/>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medium">
        <color indexed="64"/>
      </bottom>
      <diagonal/>
    </border>
    <border>
      <left style="medium">
        <color indexed="64"/>
      </left>
      <right/>
      <top/>
      <bottom/>
      <diagonal/>
    </border>
    <border>
      <left/>
      <right/>
      <top/>
      <bottom style="medium">
        <color rgb="FF000000"/>
      </bottom>
      <diagonal/>
    </border>
    <border>
      <left style="medium">
        <color rgb="FF000000"/>
      </left>
      <right/>
      <top/>
      <bottom style="medium">
        <color rgb="FF000000"/>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s>
  <cellStyleXfs count="6">
    <xf numFmtId="0" fontId="0" fillId="0" borderId="0"/>
    <xf numFmtId="9" fontId="8" fillId="0" borderId="0" applyFont="0" applyFill="0" applyBorder="0" applyAlignment="0" applyProtection="0"/>
    <xf numFmtId="164" fontId="8" fillId="0" borderId="0" applyFont="0" applyFill="0" applyBorder="0" applyAlignment="0" applyProtection="0"/>
    <xf numFmtId="0" fontId="8" fillId="0" borderId="0"/>
    <xf numFmtId="164" fontId="8" fillId="0" borderId="0" applyFont="0" applyFill="0" applyBorder="0" applyAlignment="0" applyProtection="0"/>
    <xf numFmtId="44" fontId="8" fillId="0" borderId="0" applyFont="0" applyFill="0" applyBorder="0" applyAlignment="0" applyProtection="0"/>
  </cellStyleXfs>
  <cellXfs count="178">
    <xf numFmtId="0" fontId="0" fillId="0" borderId="0" xfId="0"/>
    <xf numFmtId="0" fontId="3" fillId="0" borderId="0" xfId="0" applyFont="1"/>
    <xf numFmtId="0" fontId="4" fillId="3" borderId="7" xfId="0" applyFont="1" applyFill="1" applyBorder="1" applyAlignment="1">
      <alignment horizontal="center" vertical="center" wrapText="1"/>
    </xf>
    <xf numFmtId="0" fontId="5" fillId="0" borderId="6" xfId="0" applyFont="1" applyBorder="1" applyAlignment="1">
      <alignment vertical="center" wrapText="1"/>
    </xf>
    <xf numFmtId="0" fontId="4" fillId="4" borderId="6" xfId="0" applyFont="1" applyFill="1" applyBorder="1" applyAlignment="1">
      <alignment vertical="center" wrapText="1"/>
    </xf>
    <xf numFmtId="0" fontId="6" fillId="0" borderId="0" xfId="0" applyFont="1"/>
    <xf numFmtId="0" fontId="1" fillId="0" borderId="3" xfId="0" applyFont="1" applyBorder="1" applyAlignment="1">
      <alignment vertical="center" wrapText="1"/>
    </xf>
    <xf numFmtId="0" fontId="3" fillId="0" borderId="0" xfId="0" applyFont="1" applyAlignment="1">
      <alignment wrapText="1"/>
    </xf>
    <xf numFmtId="0" fontId="0" fillId="0" borderId="0" xfId="0" applyAlignment="1">
      <alignment wrapText="1"/>
    </xf>
    <xf numFmtId="0" fontId="1" fillId="0" borderId="9" xfId="0" applyFont="1" applyBorder="1" applyAlignment="1">
      <alignment vertical="center" wrapText="1"/>
    </xf>
    <xf numFmtId="165" fontId="12" fillId="0" borderId="0" xfId="4" applyNumberFormat="1" applyFont="1"/>
    <xf numFmtId="165" fontId="8" fillId="0" borderId="0" xfId="4" applyNumberFormat="1" applyFont="1"/>
    <xf numFmtId="165" fontId="1" fillId="0" borderId="9" xfId="4" applyNumberFormat="1" applyFont="1" applyBorder="1" applyAlignment="1">
      <alignment vertical="center" wrapText="1"/>
    </xf>
    <xf numFmtId="165" fontId="5" fillId="0" borderId="7" xfId="4" applyNumberFormat="1" applyFont="1" applyBorder="1" applyAlignment="1">
      <alignment horizontal="right" vertical="center" wrapText="1"/>
    </xf>
    <xf numFmtId="165" fontId="5" fillId="4" borderId="7" xfId="4" applyNumberFormat="1" applyFont="1" applyFill="1" applyBorder="1" applyAlignment="1">
      <alignment horizontal="right" vertical="center" wrapText="1"/>
    </xf>
    <xf numFmtId="9" fontId="8" fillId="0" borderId="0" xfId="1" applyFont="1"/>
    <xf numFmtId="0" fontId="13" fillId="0" borderId="0" xfId="0" applyFont="1"/>
    <xf numFmtId="0" fontId="14" fillId="0" borderId="0" xfId="0" applyFont="1"/>
    <xf numFmtId="0" fontId="10" fillId="0" borderId="13" xfId="0" applyFont="1" applyFill="1" applyBorder="1"/>
    <xf numFmtId="9" fontId="9" fillId="0" borderId="11" xfId="1" applyFont="1" applyFill="1" applyBorder="1" applyAlignment="1">
      <alignment horizontal="center" vertical="center" wrapText="1"/>
    </xf>
    <xf numFmtId="0" fontId="10" fillId="0" borderId="14" xfId="0" applyFont="1" applyFill="1" applyBorder="1"/>
    <xf numFmtId="9" fontId="9" fillId="0" borderId="8" xfId="1" applyFont="1" applyFill="1" applyBorder="1" applyAlignment="1">
      <alignment horizontal="center" vertical="center" wrapText="1"/>
    </xf>
    <xf numFmtId="9" fontId="9" fillId="0" borderId="8" xfId="1" applyFont="1" applyBorder="1" applyAlignment="1">
      <alignment horizontal="center"/>
    </xf>
    <xf numFmtId="0" fontId="10" fillId="0" borderId="15" xfId="0" applyFont="1" applyFill="1" applyBorder="1"/>
    <xf numFmtId="9" fontId="9" fillId="0" borderId="16" xfId="1" applyFont="1" applyBorder="1" applyAlignment="1">
      <alignment horizontal="center"/>
    </xf>
    <xf numFmtId="0" fontId="11" fillId="6" borderId="3" xfId="0" applyFont="1" applyFill="1" applyBorder="1"/>
    <xf numFmtId="0" fontId="11" fillId="6" borderId="4" xfId="0" applyFont="1" applyFill="1" applyBorder="1" applyAlignment="1">
      <alignment wrapText="1"/>
    </xf>
    <xf numFmtId="0" fontId="11" fillId="6" borderId="12" xfId="0" applyFont="1" applyFill="1" applyBorder="1"/>
    <xf numFmtId="0" fontId="9" fillId="0" borderId="17" xfId="0" applyFont="1" applyBorder="1" applyAlignment="1">
      <alignment wrapText="1"/>
    </xf>
    <xf numFmtId="0" fontId="9" fillId="0" borderId="17" xfId="0" applyFont="1" applyFill="1" applyBorder="1" applyAlignment="1">
      <alignment wrapText="1"/>
    </xf>
    <xf numFmtId="0" fontId="9" fillId="0" borderId="18" xfId="0" applyFont="1" applyBorder="1"/>
    <xf numFmtId="166" fontId="0" fillId="0" borderId="0" xfId="0" applyNumberFormat="1"/>
    <xf numFmtId="165" fontId="4" fillId="4" borderId="7" xfId="4" applyNumberFormat="1" applyFont="1" applyFill="1" applyBorder="1" applyAlignment="1">
      <alignment horizontal="right" vertical="center" wrapText="1"/>
    </xf>
    <xf numFmtId="0" fontId="15" fillId="8" borderId="1" xfId="0" applyFont="1" applyFill="1" applyBorder="1" applyAlignment="1">
      <alignment vertical="center" wrapText="1"/>
    </xf>
    <xf numFmtId="165" fontId="15" fillId="8" borderId="2" xfId="4" applyNumberFormat="1" applyFont="1" applyFill="1" applyBorder="1" applyAlignment="1">
      <alignment vertical="center" wrapText="1"/>
    </xf>
    <xf numFmtId="0" fontId="15" fillId="8" borderId="2" xfId="0" applyFont="1" applyFill="1" applyBorder="1" applyAlignment="1">
      <alignment vertical="center" wrapText="1"/>
    </xf>
    <xf numFmtId="0" fontId="2" fillId="7" borderId="9" xfId="0" applyFont="1" applyFill="1" applyBorder="1" applyAlignment="1">
      <alignment vertical="center" wrapText="1"/>
    </xf>
    <xf numFmtId="165" fontId="2" fillId="7" borderId="3" xfId="4" applyNumberFormat="1" applyFont="1" applyFill="1" applyBorder="1" applyAlignment="1">
      <alignment vertical="center" wrapText="1"/>
    </xf>
    <xf numFmtId="9" fontId="2" fillId="7" borderId="3" xfId="1" applyFont="1" applyFill="1" applyBorder="1" applyAlignment="1">
      <alignment vertical="center" wrapText="1"/>
    </xf>
    <xf numFmtId="165" fontId="2" fillId="7" borderId="9" xfId="4" applyNumberFormat="1" applyFont="1" applyFill="1" applyBorder="1" applyAlignment="1">
      <alignment vertical="center" wrapText="1"/>
    </xf>
    <xf numFmtId="165" fontId="2" fillId="8" borderId="4" xfId="4" applyNumberFormat="1" applyFont="1" applyFill="1" applyBorder="1" applyAlignment="1">
      <alignment vertical="center" wrapText="1"/>
    </xf>
    <xf numFmtId="0" fontId="12" fillId="0" borderId="0" xfId="0" applyFont="1" applyFill="1"/>
    <xf numFmtId="0" fontId="2" fillId="7" borderId="4" xfId="0" applyFont="1" applyFill="1" applyBorder="1" applyAlignment="1">
      <alignment vertical="center" wrapText="1"/>
    </xf>
    <xf numFmtId="0" fontId="18" fillId="0" borderId="3" xfId="0" applyFont="1" applyFill="1" applyBorder="1" applyAlignment="1">
      <alignment horizontal="right" vertical="center" wrapText="1"/>
    </xf>
    <xf numFmtId="0" fontId="1" fillId="0" borderId="2" xfId="0" applyFont="1" applyBorder="1" applyAlignment="1">
      <alignment vertical="center" wrapText="1"/>
    </xf>
    <xf numFmtId="166" fontId="2" fillId="7" borderId="1" xfId="0" applyNumberFormat="1" applyFont="1" applyFill="1" applyBorder="1" applyAlignment="1">
      <alignment vertical="center" wrapText="1"/>
    </xf>
    <xf numFmtId="167" fontId="15" fillId="8" borderId="1" xfId="4" applyNumberFormat="1" applyFont="1" applyFill="1" applyBorder="1" applyAlignment="1">
      <alignment vertical="center" wrapText="1"/>
    </xf>
    <xf numFmtId="166" fontId="16" fillId="5" borderId="1" xfId="0" applyNumberFormat="1" applyFont="1" applyFill="1" applyBorder="1"/>
    <xf numFmtId="165" fontId="1" fillId="0" borderId="24" xfId="4" applyNumberFormat="1" applyFont="1" applyBorder="1" applyAlignment="1">
      <alignment vertical="center" wrapText="1"/>
    </xf>
    <xf numFmtId="165" fontId="1" fillId="7" borderId="24" xfId="4" applyNumberFormat="1" applyFont="1" applyFill="1" applyBorder="1" applyAlignment="1">
      <alignment vertical="center" wrapText="1"/>
    </xf>
    <xf numFmtId="165" fontId="1" fillId="0" borderId="25" xfId="4" applyNumberFormat="1" applyFont="1" applyBorder="1" applyAlignment="1">
      <alignment vertical="center" wrapText="1"/>
    </xf>
    <xf numFmtId="165" fontId="2" fillId="8" borderId="2" xfId="4" applyNumberFormat="1" applyFont="1" applyFill="1" applyBorder="1" applyAlignment="1">
      <alignment vertical="center" wrapText="1"/>
    </xf>
    <xf numFmtId="165" fontId="5" fillId="0" borderId="7" xfId="4" applyNumberFormat="1" applyFont="1" applyFill="1" applyBorder="1" applyAlignment="1">
      <alignment horizontal="right" vertical="center" wrapText="1"/>
    </xf>
    <xf numFmtId="3" fontId="0" fillId="0" borderId="0" xfId="0" applyNumberFormat="1"/>
    <xf numFmtId="3" fontId="2" fillId="7" borderId="3" xfId="4" applyNumberFormat="1" applyFont="1" applyFill="1" applyBorder="1" applyAlignment="1">
      <alignment vertical="center" wrapText="1"/>
    </xf>
    <xf numFmtId="3" fontId="1" fillId="0" borderId="9" xfId="4" applyNumberFormat="1" applyFont="1" applyBorder="1" applyAlignment="1">
      <alignment vertical="center" wrapText="1"/>
    </xf>
    <xf numFmtId="3" fontId="2" fillId="7" borderId="9" xfId="4" applyNumberFormat="1" applyFont="1" applyFill="1" applyBorder="1" applyAlignment="1">
      <alignment vertical="center" wrapText="1"/>
    </xf>
    <xf numFmtId="3" fontId="1" fillId="0" borderId="20" xfId="4" applyNumberFormat="1" applyFont="1" applyBorder="1" applyAlignment="1">
      <alignment vertical="center" wrapText="1"/>
    </xf>
    <xf numFmtId="3" fontId="15" fillId="8" borderId="3" xfId="4"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1" fillId="0" borderId="2" xfId="4" applyNumberFormat="1" applyFont="1" applyBorder="1" applyAlignment="1">
      <alignment vertical="center" wrapText="1"/>
    </xf>
    <xf numFmtId="3" fontId="2" fillId="7" borderId="1" xfId="0" applyNumberFormat="1" applyFont="1" applyFill="1" applyBorder="1" applyAlignment="1">
      <alignment vertical="center" wrapText="1"/>
    </xf>
    <xf numFmtId="3" fontId="1" fillId="0" borderId="1" xfId="4" applyNumberFormat="1" applyFont="1" applyBorder="1" applyAlignment="1">
      <alignment vertical="center" wrapText="1"/>
    </xf>
    <xf numFmtId="3" fontId="1" fillId="0" borderId="12" xfId="4" applyNumberFormat="1" applyFont="1" applyBorder="1" applyAlignment="1">
      <alignment vertical="center" wrapText="1"/>
    </xf>
    <xf numFmtId="3" fontId="15" fillId="8" borderId="1" xfId="4" applyNumberFormat="1" applyFont="1" applyFill="1" applyBorder="1" applyAlignment="1">
      <alignment vertical="center" wrapText="1"/>
    </xf>
    <xf numFmtId="3" fontId="16" fillId="5" borderId="1" xfId="0" applyNumberFormat="1" applyFont="1" applyFill="1" applyBorder="1"/>
    <xf numFmtId="164" fontId="0" fillId="0" borderId="0" xfId="4" applyNumberFormat="1" applyFont="1"/>
    <xf numFmtId="0" fontId="3" fillId="0" borderId="0" xfId="0" applyFont="1" applyAlignment="1">
      <alignment horizontal="center" wrapText="1"/>
    </xf>
    <xf numFmtId="0" fontId="9" fillId="0" borderId="0" xfId="0" applyFont="1"/>
    <xf numFmtId="0" fontId="19" fillId="0" borderId="2" xfId="0" applyFont="1" applyBorder="1" applyAlignment="1">
      <alignment vertical="center" wrapText="1"/>
    </xf>
    <xf numFmtId="3" fontId="20" fillId="0" borderId="19" xfId="4" applyNumberFormat="1" applyFont="1" applyFill="1" applyBorder="1" applyAlignment="1">
      <alignment vertical="center" wrapText="1"/>
    </xf>
    <xf numFmtId="3" fontId="1" fillId="0" borderId="19" xfId="4" applyNumberFormat="1" applyFont="1" applyFill="1" applyBorder="1" applyAlignment="1">
      <alignment vertical="center" wrapText="1"/>
    </xf>
    <xf numFmtId="3" fontId="19" fillId="0" borderId="19" xfId="4" applyNumberFormat="1" applyFont="1" applyFill="1" applyBorder="1" applyAlignment="1">
      <alignment vertical="center" wrapText="1"/>
    </xf>
    <xf numFmtId="0" fontId="20" fillId="0" borderId="3" xfId="0" applyFont="1" applyBorder="1" applyAlignment="1">
      <alignment vertical="center" wrapText="1"/>
    </xf>
    <xf numFmtId="3" fontId="1" fillId="0" borderId="9" xfId="4" applyNumberFormat="1" applyFont="1" applyFill="1" applyBorder="1" applyAlignment="1">
      <alignment vertical="center" wrapText="1"/>
    </xf>
    <xf numFmtId="3" fontId="1" fillId="0" borderId="20" xfId="4" applyNumberFormat="1" applyFont="1" applyFill="1" applyBorder="1" applyAlignment="1">
      <alignment vertical="center" wrapText="1"/>
    </xf>
    <xf numFmtId="3" fontId="20" fillId="0" borderId="9" xfId="4" applyNumberFormat="1" applyFont="1" applyFill="1" applyBorder="1" applyAlignment="1">
      <alignment vertical="center" wrapText="1"/>
    </xf>
    <xf numFmtId="165" fontId="5" fillId="4" borderId="21" xfId="4" applyNumberFormat="1" applyFont="1" applyFill="1" applyBorder="1" applyAlignment="1">
      <alignment horizontal="right" vertical="center" wrapText="1"/>
    </xf>
    <xf numFmtId="165" fontId="4" fillId="4" borderId="21" xfId="4" applyNumberFormat="1" applyFont="1" applyFill="1" applyBorder="1" applyAlignment="1">
      <alignment horizontal="right" vertical="center" wrapText="1"/>
    </xf>
    <xf numFmtId="165" fontId="4" fillId="4" borderId="1" xfId="4" applyNumberFormat="1" applyFont="1" applyFill="1" applyBorder="1" applyAlignment="1">
      <alignment horizontal="right" vertical="center" wrapText="1"/>
    </xf>
    <xf numFmtId="49" fontId="1" fillId="0" borderId="24" xfId="4" applyNumberFormat="1" applyFont="1" applyBorder="1" applyAlignment="1">
      <alignment vertical="center" wrapText="1"/>
    </xf>
    <xf numFmtId="3" fontId="21" fillId="7" borderId="9" xfId="0" applyNumberFormat="1" applyFont="1" applyFill="1" applyBorder="1" applyAlignment="1">
      <alignment vertical="center" wrapText="1"/>
    </xf>
    <xf numFmtId="9" fontId="2" fillId="0" borderId="3" xfId="1" applyFont="1" applyFill="1" applyBorder="1" applyAlignment="1">
      <alignment horizontal="right" vertical="center" wrapText="1"/>
    </xf>
    <xf numFmtId="9" fontId="2" fillId="11" borderId="3" xfId="1" applyFont="1" applyFill="1" applyBorder="1" applyAlignment="1">
      <alignment horizontal="right" vertical="center" wrapText="1"/>
    </xf>
    <xf numFmtId="165" fontId="1" fillId="11" borderId="9" xfId="4" applyNumberFormat="1" applyFont="1" applyFill="1" applyBorder="1" applyAlignment="1">
      <alignment vertical="center" wrapText="1"/>
    </xf>
    <xf numFmtId="4" fontId="20" fillId="0" borderId="9" xfId="4" applyNumberFormat="1" applyFont="1" applyFill="1" applyBorder="1" applyAlignment="1">
      <alignment vertical="center" wrapText="1"/>
    </xf>
    <xf numFmtId="3" fontId="20" fillId="0" borderId="20" xfId="4" applyNumberFormat="1" applyFont="1" applyFill="1" applyBorder="1" applyAlignment="1">
      <alignment vertical="center" wrapText="1"/>
    </xf>
    <xf numFmtId="3" fontId="15" fillId="9" borderId="2" xfId="0" applyNumberFormat="1" applyFont="1" applyFill="1" applyBorder="1" applyAlignment="1">
      <alignment horizontal="center" vertical="center" wrapText="1"/>
    </xf>
    <xf numFmtId="0" fontId="0" fillId="0" borderId="1" xfId="0" applyFill="1" applyBorder="1"/>
    <xf numFmtId="165" fontId="5" fillId="12" borderId="1" xfId="4" applyNumberFormat="1" applyFont="1" applyFill="1" applyBorder="1" applyAlignment="1">
      <alignment horizontal="right" vertical="center" wrapText="1"/>
    </xf>
    <xf numFmtId="165" fontId="4" fillId="12" borderId="1" xfId="4" applyNumberFormat="1" applyFont="1" applyFill="1" applyBorder="1" applyAlignment="1">
      <alignment horizontal="right" vertical="center" wrapText="1"/>
    </xf>
    <xf numFmtId="164" fontId="0" fillId="0" borderId="0" xfId="0" applyNumberFormat="1"/>
    <xf numFmtId="164" fontId="15" fillId="8" borderId="2" xfId="0" applyNumberFormat="1" applyFont="1" applyFill="1" applyBorder="1" applyAlignment="1">
      <alignment vertical="center" wrapText="1"/>
    </xf>
    <xf numFmtId="164" fontId="22" fillId="8" borderId="9" xfId="4" applyNumberFormat="1" applyFont="1" applyFill="1" applyBorder="1" applyAlignment="1">
      <alignment vertical="center" wrapText="1"/>
    </xf>
    <xf numFmtId="164" fontId="1" fillId="7" borderId="9" xfId="4" applyNumberFormat="1" applyFont="1" applyFill="1" applyBorder="1" applyAlignment="1">
      <alignment vertical="center" wrapText="1"/>
    </xf>
    <xf numFmtId="164" fontId="22" fillId="8" borderId="20" xfId="4" applyNumberFormat="1" applyFont="1" applyFill="1" applyBorder="1" applyAlignment="1">
      <alignment vertical="center" wrapText="1"/>
    </xf>
    <xf numFmtId="164" fontId="2" fillId="7" borderId="4" xfId="0" applyNumberFormat="1" applyFont="1" applyFill="1" applyBorder="1" applyAlignment="1">
      <alignment vertical="center" wrapText="1"/>
    </xf>
    <xf numFmtId="164" fontId="2" fillId="7" borderId="1" xfId="0" applyNumberFormat="1" applyFont="1" applyFill="1" applyBorder="1" applyAlignment="1">
      <alignment vertical="center" wrapText="1"/>
    </xf>
    <xf numFmtId="164" fontId="22" fillId="8" borderId="9" xfId="5" applyNumberFormat="1" applyFont="1" applyFill="1" applyBorder="1" applyAlignment="1">
      <alignment vertical="center" wrapText="1"/>
    </xf>
    <xf numFmtId="164" fontId="15" fillId="8" borderId="1" xfId="4" applyNumberFormat="1" applyFont="1" applyFill="1" applyBorder="1" applyAlignment="1">
      <alignment vertical="center" wrapText="1"/>
    </xf>
    <xf numFmtId="164" fontId="16" fillId="5" borderId="1" xfId="0" applyNumberFormat="1" applyFont="1" applyFill="1" applyBorder="1"/>
    <xf numFmtId="0" fontId="3" fillId="0" borderId="0" xfId="0" applyFont="1" applyAlignment="1">
      <alignment horizontal="center" wrapText="1"/>
    </xf>
    <xf numFmtId="9" fontId="9" fillId="0" borderId="0" xfId="1" applyFont="1"/>
    <xf numFmtId="0" fontId="9" fillId="0" borderId="0" xfId="1" applyNumberFormat="1" applyFont="1"/>
    <xf numFmtId="9" fontId="5" fillId="15" borderId="1" xfId="1" applyNumberFormat="1" applyFont="1" applyFill="1" applyBorder="1" applyAlignment="1">
      <alignment horizontal="right" vertical="center" wrapText="1"/>
    </xf>
    <xf numFmtId="9" fontId="5" fillId="15" borderId="27" xfId="4" applyNumberFormat="1" applyFont="1" applyFill="1" applyBorder="1" applyAlignment="1">
      <alignment horizontal="right" vertical="center" wrapText="1"/>
    </xf>
    <xf numFmtId="165" fontId="4" fillId="10" borderId="21" xfId="4" applyNumberFormat="1" applyFont="1" applyFill="1" applyBorder="1" applyAlignment="1">
      <alignment horizontal="right" vertical="center" wrapText="1"/>
    </xf>
    <xf numFmtId="164" fontId="4" fillId="4" borderId="1" xfId="4" applyNumberFormat="1" applyFont="1" applyFill="1" applyBorder="1" applyAlignment="1">
      <alignment horizontal="right" vertical="center" wrapText="1"/>
    </xf>
    <xf numFmtId="0" fontId="23" fillId="0" borderId="1" xfId="0" applyFont="1" applyFill="1" applyBorder="1" applyAlignment="1">
      <alignment vertical="center" wrapText="1"/>
    </xf>
    <xf numFmtId="0" fontId="19" fillId="0" borderId="3" xfId="0" applyFont="1" applyBorder="1" applyAlignment="1">
      <alignment vertical="center" wrapText="1"/>
    </xf>
    <xf numFmtId="3" fontId="19" fillId="0" borderId="1" xfId="4" applyNumberFormat="1" applyFont="1" applyBorder="1" applyAlignment="1">
      <alignment vertical="center" wrapText="1"/>
    </xf>
    <xf numFmtId="3" fontId="19" fillId="0" borderId="9" xfId="4" applyNumberFormat="1" applyFont="1" applyFill="1" applyBorder="1" applyAlignment="1">
      <alignment vertical="center" wrapText="1"/>
    </xf>
    <xf numFmtId="3" fontId="15" fillId="8" borderId="4" xfId="4" applyNumberFormat="1" applyFont="1" applyFill="1" applyBorder="1" applyAlignment="1">
      <alignment vertical="center" wrapText="1"/>
    </xf>
    <xf numFmtId="3" fontId="24" fillId="7" borderId="9" xfId="0" applyNumberFormat="1" applyFont="1" applyFill="1" applyBorder="1" applyAlignment="1">
      <alignment vertical="center" wrapText="1"/>
    </xf>
    <xf numFmtId="3" fontId="19" fillId="0" borderId="1" xfId="4" applyNumberFormat="1" applyFont="1" applyFill="1" applyBorder="1" applyAlignment="1">
      <alignment vertical="center" wrapText="1"/>
    </xf>
    <xf numFmtId="3" fontId="19" fillId="0" borderId="24" xfId="4" applyNumberFormat="1" applyFont="1" applyFill="1" applyBorder="1" applyAlignment="1">
      <alignment vertical="center" wrapText="1"/>
    </xf>
    <xf numFmtId="0" fontId="19" fillId="0" borderId="19" xfId="0" applyFont="1" applyBorder="1" applyAlignment="1">
      <alignment vertical="center" wrapText="1"/>
    </xf>
    <xf numFmtId="0" fontId="18" fillId="0" borderId="9" xfId="0" applyFont="1" applyFill="1" applyBorder="1" applyAlignment="1">
      <alignment horizontal="right" vertical="center" wrapText="1"/>
    </xf>
    <xf numFmtId="3" fontId="15" fillId="8" borderId="2" xfId="0" applyNumberFormat="1" applyFont="1" applyFill="1" applyBorder="1" applyAlignment="1">
      <alignment horizontal="center" vertical="center" wrapText="1"/>
    </xf>
    <xf numFmtId="3" fontId="15" fillId="13" borderId="3" xfId="4" applyNumberFormat="1" applyFont="1" applyFill="1" applyBorder="1" applyAlignment="1">
      <alignment vertical="center" wrapText="1"/>
    </xf>
    <xf numFmtId="3" fontId="15" fillId="13" borderId="1" xfId="4" applyNumberFormat="1" applyFont="1" applyFill="1" applyBorder="1" applyAlignment="1">
      <alignment vertical="center" wrapText="1"/>
    </xf>
    <xf numFmtId="3" fontId="15" fillId="13" borderId="4" xfId="4" applyNumberFormat="1" applyFont="1" applyFill="1" applyBorder="1" applyAlignment="1">
      <alignment vertical="center" wrapText="1"/>
    </xf>
    <xf numFmtId="165" fontId="2" fillId="13" borderId="4" xfId="4" applyNumberFormat="1" applyFont="1" applyFill="1" applyBorder="1" applyAlignment="1">
      <alignment vertical="center" wrapText="1"/>
    </xf>
    <xf numFmtId="165" fontId="2" fillId="13" borderId="2" xfId="4" applyNumberFormat="1" applyFont="1" applyFill="1" applyBorder="1" applyAlignment="1">
      <alignment vertical="center" wrapText="1"/>
    </xf>
    <xf numFmtId="164" fontId="6" fillId="0" borderId="0" xfId="0" applyNumberFormat="1" applyFont="1"/>
    <xf numFmtId="9" fontId="0" fillId="0" borderId="0" xfId="1" applyFont="1"/>
    <xf numFmtId="164" fontId="2" fillId="7" borderId="3" xfId="4" applyFont="1" applyFill="1" applyBorder="1" applyAlignment="1">
      <alignment vertical="center" wrapText="1"/>
    </xf>
    <xf numFmtId="164" fontId="2" fillId="7" borderId="9" xfId="4" applyFont="1" applyFill="1" applyBorder="1" applyAlignment="1">
      <alignment vertical="center" wrapText="1"/>
    </xf>
    <xf numFmtId="164" fontId="22" fillId="8" borderId="9" xfId="4" applyFont="1" applyFill="1" applyBorder="1" applyAlignment="1">
      <alignment vertical="center" wrapText="1"/>
    </xf>
    <xf numFmtId="164" fontId="1" fillId="0" borderId="24" xfId="4" applyNumberFormat="1" applyFont="1" applyBorder="1" applyAlignment="1">
      <alignment vertical="center" wrapText="1"/>
    </xf>
    <xf numFmtId="164" fontId="1" fillId="0" borderId="25" xfId="4" applyNumberFormat="1" applyFont="1" applyBorder="1" applyAlignment="1">
      <alignment vertical="center" wrapText="1"/>
    </xf>
    <xf numFmtId="0" fontId="2" fillId="7" borderId="1" xfId="0" applyFont="1" applyFill="1" applyBorder="1" applyAlignment="1">
      <alignment vertical="center" wrapText="1"/>
    </xf>
    <xf numFmtId="165" fontId="1" fillId="0" borderId="1" xfId="4" applyNumberFormat="1" applyFont="1" applyBorder="1" applyAlignment="1">
      <alignment vertical="center" wrapText="1"/>
    </xf>
    <xf numFmtId="49" fontId="19" fillId="7" borderId="1" xfId="4" applyNumberFormat="1" applyFont="1" applyFill="1" applyBorder="1" applyAlignment="1">
      <alignment vertical="center" wrapText="1"/>
    </xf>
    <xf numFmtId="165" fontId="19" fillId="0" borderId="24" xfId="4" applyNumberFormat="1" applyFont="1" applyBorder="1" applyAlignment="1">
      <alignment vertical="center" wrapText="1"/>
    </xf>
    <xf numFmtId="49" fontId="19" fillId="0" borderId="24" xfId="4" applyNumberFormat="1" applyFont="1" applyBorder="1" applyAlignment="1">
      <alignment vertical="center" wrapText="1"/>
    </xf>
    <xf numFmtId="0" fontId="25" fillId="0" borderId="0" xfId="0" applyFont="1" applyAlignment="1">
      <alignment vertical="center" wrapText="1"/>
    </xf>
    <xf numFmtId="0" fontId="11" fillId="5" borderId="12" xfId="0" applyFont="1" applyFill="1" applyBorder="1" applyAlignment="1">
      <alignment horizontal="center" wrapText="1"/>
    </xf>
    <xf numFmtId="0" fontId="11" fillId="5" borderId="24" xfId="0" applyFont="1" applyFill="1" applyBorder="1" applyAlignment="1">
      <alignment horizontal="center" wrapText="1"/>
    </xf>
    <xf numFmtId="0" fontId="11" fillId="14" borderId="12" xfId="0" applyFont="1" applyFill="1" applyBorder="1" applyAlignment="1">
      <alignment horizontal="center" vertical="center" wrapText="1"/>
    </xf>
    <xf numFmtId="0" fontId="11" fillId="14" borderId="24" xfId="0" applyFont="1" applyFill="1" applyBorder="1" applyAlignment="1">
      <alignment horizontal="center" vertical="center" wrapText="1"/>
    </xf>
    <xf numFmtId="0" fontId="17" fillId="0" borderId="3" xfId="0" applyFont="1" applyBorder="1" applyAlignment="1">
      <alignment horizontal="center"/>
    </xf>
    <xf numFmtId="0" fontId="17" fillId="0" borderId="4" xfId="0" applyFont="1" applyBorder="1" applyAlignment="1">
      <alignment horizontal="center"/>
    </xf>
    <xf numFmtId="0" fontId="17" fillId="0" borderId="2" xfId="0" applyFont="1" applyBorder="1" applyAlignment="1">
      <alignment horizont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7" xfId="0" applyFont="1" applyFill="1" applyBorder="1" applyAlignment="1">
      <alignment horizontal="center" vertical="center" wrapText="1"/>
    </xf>
    <xf numFmtId="164" fontId="4" fillId="2" borderId="0" xfId="4" applyNumberFormat="1" applyFont="1" applyFill="1" applyBorder="1" applyAlignment="1">
      <alignment horizontal="center" vertical="center" wrapText="1"/>
    </xf>
    <xf numFmtId="164" fontId="4" fillId="2" borderId="22" xfId="4" applyNumberFormat="1"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24" xfId="0" applyFont="1" applyFill="1" applyBorder="1" applyAlignment="1">
      <alignment horizontal="center" vertical="center"/>
    </xf>
    <xf numFmtId="0" fontId="7" fillId="0" borderId="0" xfId="0" applyFont="1" applyAlignment="1">
      <alignment horizontal="center" wrapText="1"/>
    </xf>
    <xf numFmtId="0" fontId="15" fillId="13" borderId="3" xfId="0" applyFont="1" applyFill="1" applyBorder="1" applyAlignment="1">
      <alignment horizontal="left" vertical="center" wrapText="1"/>
    </xf>
    <xf numFmtId="0" fontId="15" fillId="13" borderId="4"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7" borderId="9" xfId="0" applyFont="1" applyFill="1" applyBorder="1" applyAlignment="1">
      <alignment horizontal="left" vertical="center" wrapText="1"/>
    </xf>
    <xf numFmtId="0" fontId="2" fillId="7" borderId="19" xfId="0" applyFont="1" applyFill="1" applyBorder="1" applyAlignment="1">
      <alignment horizontal="left" vertical="center" wrapText="1"/>
    </xf>
    <xf numFmtId="0" fontId="15" fillId="8" borderId="3" xfId="0" applyFont="1" applyFill="1" applyBorder="1" applyAlignment="1">
      <alignment horizontal="left" vertical="center" wrapText="1"/>
    </xf>
    <xf numFmtId="0" fontId="15" fillId="8" borderId="4"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9" fontId="15" fillId="5" borderId="3" xfId="1" applyFont="1" applyFill="1" applyBorder="1" applyAlignment="1">
      <alignment vertical="center" wrapText="1"/>
    </xf>
    <xf numFmtId="9" fontId="15" fillId="5" borderId="4" xfId="1" applyFont="1" applyFill="1" applyBorder="1" applyAlignment="1">
      <alignment vertical="center" wrapText="1"/>
    </xf>
    <xf numFmtId="9" fontId="15" fillId="5" borderId="10" xfId="1" applyFont="1" applyFill="1" applyBorder="1" applyAlignment="1">
      <alignment vertical="center" wrapText="1"/>
    </xf>
    <xf numFmtId="9" fontId="15" fillId="5" borderId="23" xfId="1" applyFont="1" applyFill="1" applyBorder="1" applyAlignment="1">
      <alignmen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6" xfId="0" applyFont="1" applyFill="1" applyBorder="1" applyAlignment="1">
      <alignment horizontal="left" vertical="center" wrapText="1"/>
    </xf>
    <xf numFmtId="0" fontId="3" fillId="0" borderId="0" xfId="0" applyFont="1" applyAlignment="1">
      <alignment horizontal="center" wrapText="1"/>
    </xf>
    <xf numFmtId="49" fontId="19" fillId="0" borderId="12" xfId="4" applyNumberFormat="1" applyFont="1" applyBorder="1" applyAlignment="1">
      <alignment horizontal="left" vertical="center" wrapText="1"/>
    </xf>
    <xf numFmtId="49" fontId="19" fillId="0" borderId="25" xfId="4" applyNumberFormat="1" applyFont="1" applyBorder="1" applyAlignment="1">
      <alignment horizontal="left" vertical="center" wrapText="1"/>
    </xf>
    <xf numFmtId="49" fontId="19" fillId="0" borderId="24" xfId="4" applyNumberFormat="1" applyFont="1" applyBorder="1" applyAlignment="1">
      <alignment horizontal="left" vertical="center" wrapText="1"/>
    </xf>
    <xf numFmtId="165" fontId="23" fillId="10" borderId="21" xfId="4" applyNumberFormat="1" applyFont="1" applyFill="1" applyBorder="1" applyAlignment="1">
      <alignment horizontal="right" vertical="center" wrapText="1"/>
    </xf>
  </cellXfs>
  <cellStyles count="6">
    <cellStyle name="Comma" xfId="4" builtinId="3"/>
    <cellStyle name="Currency" xfId="5" builtinId="4"/>
    <cellStyle name="Komma 2" xfId="2"/>
    <cellStyle name="Normal" xfId="0" builtinId="0"/>
    <cellStyle name="Normal 15 2 2" xfId="3"/>
    <cellStyle name="Percent" xfId="1" builtinId="5"/>
  </cellStyles>
  <dxfs count="0"/>
  <tableStyles count="0" defaultTableStyle="TableStyleMedium2" defaultPivotStyle="PivotStyleLight16"/>
  <colors>
    <mruColors>
      <color rgb="FFFFBDBD"/>
      <color rgb="FFFF7979"/>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2"/>
  <sheetViews>
    <sheetView topLeftCell="A4" zoomScale="99" zoomScaleNormal="120" workbookViewId="0">
      <selection activeCell="I14" sqref="I14"/>
    </sheetView>
  </sheetViews>
  <sheetFormatPr defaultRowHeight="15" x14ac:dyDescent="0.25"/>
  <cols>
    <col min="1" max="1" width="15.5703125" customWidth="1"/>
    <col min="2" max="2" width="18.140625" bestFit="1" customWidth="1"/>
    <col min="3" max="3" width="17.28515625" bestFit="1" customWidth="1"/>
    <col min="4" max="4" width="12.5703125" bestFit="1" customWidth="1"/>
    <col min="5" max="5" width="20.5703125" style="66" bestFit="1" customWidth="1"/>
    <col min="6" max="6" width="18" style="68" customWidth="1"/>
    <col min="7" max="7" width="24.28515625" style="68" customWidth="1"/>
    <col min="8" max="8" width="22.140625" customWidth="1"/>
  </cols>
  <sheetData>
    <row r="1" spans="1:8" ht="15.75" x14ac:dyDescent="0.25">
      <c r="A1" s="1" t="s">
        <v>19</v>
      </c>
    </row>
    <row r="2" spans="1:8" x14ac:dyDescent="0.25">
      <c r="A2" s="5"/>
    </row>
    <row r="3" spans="1:8" x14ac:dyDescent="0.25">
      <c r="A3" s="5" t="s">
        <v>18</v>
      </c>
    </row>
    <row r="4" spans="1:8" ht="15.75" thickBot="1" x14ac:dyDescent="0.3">
      <c r="A4" s="5"/>
    </row>
    <row r="5" spans="1:8" ht="15.75" customHeight="1" thickBot="1" x14ac:dyDescent="0.3">
      <c r="B5" s="141" t="s">
        <v>181</v>
      </c>
      <c r="C5" s="142"/>
      <c r="D5" s="142"/>
      <c r="E5" s="143"/>
      <c r="F5" s="141" t="s">
        <v>182</v>
      </c>
      <c r="G5" s="143"/>
    </row>
    <row r="6" spans="1:8" ht="26.25" customHeight="1" thickBot="1" x14ac:dyDescent="0.3">
      <c r="A6" s="144" t="s">
        <v>6</v>
      </c>
      <c r="B6" s="146" t="s">
        <v>78</v>
      </c>
      <c r="C6" s="147"/>
      <c r="D6" s="148"/>
      <c r="E6" s="149" t="s">
        <v>17</v>
      </c>
      <c r="F6" s="151" t="s">
        <v>179</v>
      </c>
      <c r="G6" s="139" t="s">
        <v>177</v>
      </c>
      <c r="H6" s="137" t="s">
        <v>180</v>
      </c>
    </row>
    <row r="7" spans="1:8" ht="26.25" thickBot="1" x14ac:dyDescent="0.3">
      <c r="A7" s="145"/>
      <c r="B7" s="2" t="s">
        <v>79</v>
      </c>
      <c r="C7" s="2" t="s">
        <v>80</v>
      </c>
      <c r="D7" s="2" t="s">
        <v>81</v>
      </c>
      <c r="E7" s="150"/>
      <c r="F7" s="152"/>
      <c r="G7" s="140"/>
      <c r="H7" s="138"/>
    </row>
    <row r="8" spans="1:8" ht="26.25" thickBot="1" x14ac:dyDescent="0.3">
      <c r="A8" s="3" t="s">
        <v>8</v>
      </c>
      <c r="B8" s="52">
        <f>ROUNDUP(E8*0.35,0.6)</f>
        <v>137720</v>
      </c>
      <c r="C8" s="52">
        <f>ROUNDUP(E8*0.35,0.6)</f>
        <v>137720</v>
      </c>
      <c r="D8" s="52">
        <f>+ROUNDDOWN(E8*0.3,-0.2)</f>
        <v>118045</v>
      </c>
      <c r="E8" s="52">
        <v>393485</v>
      </c>
      <c r="F8" s="177">
        <v>374320</v>
      </c>
      <c r="G8" s="104">
        <f>(E8-F8)/E8</f>
        <v>4.87057956465939E-2</v>
      </c>
      <c r="H8" s="108">
        <v>144126.88</v>
      </c>
    </row>
    <row r="9" spans="1:8" ht="39" thickBot="1" x14ac:dyDescent="0.3">
      <c r="A9" s="3" t="s">
        <v>9</v>
      </c>
      <c r="B9" s="52">
        <f>ROUNDUP(E9*0.35,0.1)</f>
        <v>26101</v>
      </c>
      <c r="C9" s="52">
        <f>ROUNDUP(E9*0.35,0.1)</f>
        <v>26101</v>
      </c>
      <c r="D9" s="52">
        <f>ROUNDDOWN(E9*0.3,-0.2)</f>
        <v>22372</v>
      </c>
      <c r="E9" s="52">
        <f>+ROUNDDOWN(74574.13,-0.13)</f>
        <v>74574</v>
      </c>
      <c r="F9" s="106">
        <v>80757.440000000002</v>
      </c>
      <c r="G9" s="104">
        <f t="shared" ref="G9:G16" si="0">(E9-F9)/E9</f>
        <v>-8.2916834285407817E-2</v>
      </c>
      <c r="H9" s="108">
        <v>6297.07</v>
      </c>
    </row>
    <row r="10" spans="1:8" ht="64.5" thickBot="1" x14ac:dyDescent="0.3">
      <c r="A10" s="3" t="s">
        <v>10</v>
      </c>
      <c r="B10" s="52">
        <f>ROUNDUP(E10*0.35,-0.5)</f>
        <v>19975</v>
      </c>
      <c r="C10" s="52">
        <f>ROUNDUP(E10*0.35,-0.5)</f>
        <v>19975</v>
      </c>
      <c r="D10" s="52">
        <f>+ROUNDDOWN(E10*0.3,-1)</f>
        <v>17120</v>
      </c>
      <c r="E10" s="52">
        <v>57070</v>
      </c>
      <c r="F10" s="106">
        <v>55958</v>
      </c>
      <c r="G10" s="104">
        <f t="shared" si="0"/>
        <v>1.9484843175048186E-2</v>
      </c>
      <c r="H10" s="108">
        <v>11511.86</v>
      </c>
    </row>
    <row r="11" spans="1:8" ht="26.25" thickBot="1" x14ac:dyDescent="0.3">
      <c r="A11" s="3" t="s">
        <v>11</v>
      </c>
      <c r="B11" s="52">
        <f>ROUNDUP(E11*0.35,0.3)</f>
        <v>16383</v>
      </c>
      <c r="C11" s="52">
        <f>ROUNDUP(E11*0.35,0.3)</f>
        <v>16383</v>
      </c>
      <c r="D11" s="52">
        <f>ROUNDDOWN(E11*0.3,-0.4)</f>
        <v>14042</v>
      </c>
      <c r="E11" s="52">
        <v>46808</v>
      </c>
      <c r="F11" s="106">
        <v>48394.5</v>
      </c>
      <c r="G11" s="104">
        <f t="shared" si="0"/>
        <v>-3.3893778841223722E-2</v>
      </c>
      <c r="H11" s="108">
        <v>31958.09</v>
      </c>
    </row>
    <row r="12" spans="1:8" ht="15.75" thickBot="1" x14ac:dyDescent="0.3">
      <c r="A12" s="3" t="s">
        <v>12</v>
      </c>
      <c r="B12" s="52">
        <f>+ROUNDUP(E12*0.35,0.3)</f>
        <v>15533</v>
      </c>
      <c r="C12" s="52">
        <f>+ROUNDUP(E12*0.35,0.3)</f>
        <v>15533</v>
      </c>
      <c r="D12" s="52">
        <f>+ROUNDDOWN(E12*0.3,-0.7)</f>
        <v>13313</v>
      </c>
      <c r="E12" s="52">
        <v>44379</v>
      </c>
      <c r="F12" s="106">
        <v>47885</v>
      </c>
      <c r="G12" s="104">
        <f t="shared" si="0"/>
        <v>-7.9001329457626349E-2</v>
      </c>
      <c r="H12" s="108">
        <v>13107.6</v>
      </c>
    </row>
    <row r="13" spans="1:8" ht="39" thickBot="1" x14ac:dyDescent="0.3">
      <c r="A13" s="3" t="s">
        <v>13</v>
      </c>
      <c r="B13" s="52">
        <f>E13*0.35</f>
        <v>0</v>
      </c>
      <c r="C13" s="52">
        <f>E13*0.35</f>
        <v>0</v>
      </c>
      <c r="D13" s="52">
        <f>E13*0.3</f>
        <v>0</v>
      </c>
      <c r="E13" s="52">
        <v>0</v>
      </c>
      <c r="F13" s="106">
        <v>0</v>
      </c>
      <c r="G13" s="105">
        <v>0</v>
      </c>
      <c r="H13" s="108">
        <v>0</v>
      </c>
    </row>
    <row r="14" spans="1:8" ht="39" thickBot="1" x14ac:dyDescent="0.3">
      <c r="A14" s="3" t="s">
        <v>14</v>
      </c>
      <c r="B14" s="52">
        <f>ROUNDUP(E14*0.35,0.2)</f>
        <v>193168</v>
      </c>
      <c r="C14" s="52">
        <f>ROUNDUP(E14*0.35,0.2)</f>
        <v>193168</v>
      </c>
      <c r="D14" s="52">
        <f>ROUNDDOWN(E14*0.3,-0.4)</f>
        <v>165572</v>
      </c>
      <c r="E14" s="52">
        <v>551908</v>
      </c>
      <c r="F14" s="177">
        <v>556685.06000000006</v>
      </c>
      <c r="G14" s="104">
        <f t="shared" si="0"/>
        <v>-8.655536792364046E-3</v>
      </c>
      <c r="H14" s="108">
        <v>123787</v>
      </c>
    </row>
    <row r="15" spans="1:8" ht="26.25" thickBot="1" x14ac:dyDescent="0.3">
      <c r="A15" s="4" t="s">
        <v>15</v>
      </c>
      <c r="B15" s="14">
        <f>SUM(B8:B14)</f>
        <v>408880</v>
      </c>
      <c r="C15" s="14">
        <f>SUM(C8:C14)</f>
        <v>408880</v>
      </c>
      <c r="D15" s="14">
        <f>SUM(D8:D14)</f>
        <v>350464</v>
      </c>
      <c r="E15" s="14">
        <f>SUM(E8:E14)</f>
        <v>1168224</v>
      </c>
      <c r="F15" s="77">
        <f>SUM(F8:F14)</f>
        <v>1164000</v>
      </c>
      <c r="G15" s="89"/>
      <c r="H15" s="107">
        <f>SUM(H8:H14)</f>
        <v>330788.5</v>
      </c>
    </row>
    <row r="16" spans="1:8" ht="39" thickBot="1" x14ac:dyDescent="0.3">
      <c r="A16" s="3" t="s">
        <v>16</v>
      </c>
      <c r="B16" s="13">
        <f>81776*0.35</f>
        <v>28621.599999999999</v>
      </c>
      <c r="C16" s="13">
        <f>81776*0.35</f>
        <v>28621.599999999999</v>
      </c>
      <c r="D16" s="52">
        <f>ROUNDDOWN(E16*0.3,-0.4)</f>
        <v>24532</v>
      </c>
      <c r="E16" s="52">
        <v>81776</v>
      </c>
      <c r="F16" s="106">
        <v>86000</v>
      </c>
      <c r="G16" s="104">
        <f t="shared" si="0"/>
        <v>-5.1653296810800234E-2</v>
      </c>
      <c r="H16" s="88"/>
    </row>
    <row r="17" spans="1:8" s="5" customFormat="1" ht="15.75" thickBot="1" x14ac:dyDescent="0.3">
      <c r="A17" s="4" t="s">
        <v>7</v>
      </c>
      <c r="B17" s="32">
        <f>SUM(B15:B16)</f>
        <v>437501.6</v>
      </c>
      <c r="C17" s="32">
        <f>SUM(C15:C16)</f>
        <v>437501.6</v>
      </c>
      <c r="D17" s="32">
        <f>SUM(D15:D16)</f>
        <v>374996</v>
      </c>
      <c r="E17" s="32">
        <f>SUM(E15:E16)</f>
        <v>1250000</v>
      </c>
      <c r="F17" s="78">
        <f>SUM(F15:F16)</f>
        <v>1250000</v>
      </c>
      <c r="G17" s="90"/>
      <c r="H17" s="79"/>
    </row>
    <row r="21" spans="1:8" x14ac:dyDescent="0.25">
      <c r="F21" s="103"/>
    </row>
    <row r="22" spans="1:8" x14ac:dyDescent="0.25">
      <c r="F22" s="102"/>
    </row>
  </sheetData>
  <mergeCells count="8">
    <mergeCell ref="H6:H7"/>
    <mergeCell ref="G6:G7"/>
    <mergeCell ref="B5:E5"/>
    <mergeCell ref="A6:A7"/>
    <mergeCell ref="B6:D6"/>
    <mergeCell ref="E6:E7"/>
    <mergeCell ref="F6:F7"/>
    <mergeCell ref="F5:G5"/>
  </mergeCells>
  <pageMargins left="0.25" right="0.25" top="0.75" bottom="0.75" header="0.3" footer="0.3"/>
  <pageSetup fitToHeight="0" orientation="landscape" r:id="rId1"/>
  <ignoredErrors>
    <ignoredError sqref="D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J96"/>
  <sheetViews>
    <sheetView tabSelected="1" zoomScale="53" zoomScaleNormal="60" workbookViewId="0">
      <selection activeCell="H9" sqref="H9"/>
    </sheetView>
  </sheetViews>
  <sheetFormatPr defaultRowHeight="15" x14ac:dyDescent="0.25"/>
  <cols>
    <col min="1" max="1" width="24" style="8" customWidth="1"/>
    <col min="2" max="2" width="71.42578125" style="11" customWidth="1"/>
    <col min="3" max="3" width="20.7109375" style="53" customWidth="1"/>
    <col min="4" max="4" width="21.42578125" style="53" customWidth="1"/>
    <col min="5" max="5" width="24" style="53" customWidth="1"/>
    <col min="6" max="6" width="22.5703125" customWidth="1"/>
    <col min="7" max="7" width="22.5703125" style="91" customWidth="1"/>
    <col min="8" max="8" width="90" customWidth="1"/>
    <col min="9" max="9" width="27.5703125" bestFit="1" customWidth="1"/>
  </cols>
  <sheetData>
    <row r="1" spans="1:10" ht="45" customHeight="1" x14ac:dyDescent="0.35">
      <c r="A1" s="153" t="s">
        <v>0</v>
      </c>
      <c r="B1" s="153"/>
    </row>
    <row r="2" spans="1:10" ht="15.75" x14ac:dyDescent="0.25">
      <c r="A2" s="7"/>
      <c r="B2" s="10"/>
    </row>
    <row r="3" spans="1:10" ht="60" customHeight="1" x14ac:dyDescent="0.25">
      <c r="A3" s="173" t="s">
        <v>18</v>
      </c>
      <c r="B3" s="173"/>
      <c r="C3" s="173"/>
      <c r="D3" s="67"/>
      <c r="E3" s="101"/>
    </row>
    <row r="5" spans="1:10" ht="47.25" x14ac:dyDescent="0.25">
      <c r="A5" s="7" t="s">
        <v>20</v>
      </c>
    </row>
    <row r="6" spans="1:10" ht="15.75" thickBot="1" x14ac:dyDescent="0.3"/>
    <row r="7" spans="1:10" ht="138.75" customHeight="1" thickBot="1" x14ac:dyDescent="0.3">
      <c r="A7" s="33" t="s">
        <v>1</v>
      </c>
      <c r="B7" s="34" t="s">
        <v>2</v>
      </c>
      <c r="C7" s="118" t="s">
        <v>103</v>
      </c>
      <c r="D7" s="87" t="s">
        <v>189</v>
      </c>
      <c r="E7" s="87" t="s">
        <v>190</v>
      </c>
      <c r="F7" s="35" t="s">
        <v>125</v>
      </c>
      <c r="G7" s="92" t="s">
        <v>21</v>
      </c>
      <c r="H7" s="35" t="s">
        <v>5</v>
      </c>
    </row>
    <row r="8" spans="1:10" ht="45" customHeight="1" thickBot="1" x14ac:dyDescent="0.3">
      <c r="A8" s="165" t="s">
        <v>83</v>
      </c>
      <c r="B8" s="166"/>
      <c r="C8" s="167"/>
      <c r="D8" s="167"/>
      <c r="E8" s="167"/>
      <c r="F8" s="167"/>
      <c r="G8" s="167"/>
      <c r="H8" s="168"/>
    </row>
    <row r="9" spans="1:10" ht="192.75" customHeight="1" thickBot="1" x14ac:dyDescent="0.3">
      <c r="A9" s="36" t="s">
        <v>82</v>
      </c>
      <c r="B9" s="37" t="s">
        <v>104</v>
      </c>
      <c r="C9" s="54">
        <f>SUM(C10:C12)</f>
        <v>467669</v>
      </c>
      <c r="D9" s="54"/>
      <c r="E9" s="54"/>
      <c r="F9" s="38">
        <v>0.5</v>
      </c>
      <c r="G9" s="126">
        <f>SUM(G10:G12)</f>
        <v>128334.41</v>
      </c>
      <c r="H9" s="133" t="s">
        <v>196</v>
      </c>
      <c r="I9" s="136"/>
    </row>
    <row r="10" spans="1:10" ht="48" thickBot="1" x14ac:dyDescent="0.3">
      <c r="A10" s="9" t="s">
        <v>84</v>
      </c>
      <c r="B10" s="12" t="s">
        <v>105</v>
      </c>
      <c r="C10" s="55">
        <f>ROUNDUP(52846.63,0.7)</f>
        <v>52847</v>
      </c>
      <c r="D10" s="74"/>
      <c r="E10" s="74"/>
      <c r="F10" s="82" t="s">
        <v>176</v>
      </c>
      <c r="G10" s="128">
        <v>14501.9</v>
      </c>
      <c r="H10" s="129" t="s">
        <v>194</v>
      </c>
      <c r="I10" s="125"/>
      <c r="J10" s="125"/>
    </row>
    <row r="11" spans="1:10" ht="44.25" customHeight="1" thickBot="1" x14ac:dyDescent="0.3">
      <c r="A11" s="9" t="s">
        <v>85</v>
      </c>
      <c r="B11" s="12" t="s">
        <v>106</v>
      </c>
      <c r="C11" s="55">
        <f>ROUNDDOWN(33672.2,-0.2)</f>
        <v>33672</v>
      </c>
      <c r="D11" s="74"/>
      <c r="E11" s="74"/>
      <c r="F11" s="82" t="s">
        <v>176</v>
      </c>
      <c r="G11" s="128">
        <v>9240.0300000000007</v>
      </c>
      <c r="H11" s="129" t="s">
        <v>195</v>
      </c>
      <c r="I11" s="125"/>
      <c r="J11" s="125"/>
    </row>
    <row r="12" spans="1:10" ht="48" thickBot="1" x14ac:dyDescent="0.3">
      <c r="A12" s="9" t="s">
        <v>86</v>
      </c>
      <c r="B12" s="12" t="s">
        <v>107</v>
      </c>
      <c r="C12" s="55">
        <f>ROUNDDOWN(381150.47,-1)</f>
        <v>381150</v>
      </c>
      <c r="D12" s="74"/>
      <c r="E12" s="74"/>
      <c r="F12" s="82" t="s">
        <v>176</v>
      </c>
      <c r="G12" s="128">
        <v>104592.48</v>
      </c>
      <c r="H12" s="129"/>
      <c r="I12" s="125"/>
      <c r="J12" s="125"/>
    </row>
    <row r="13" spans="1:10" ht="32.25" thickBot="1" x14ac:dyDescent="0.3">
      <c r="A13" s="36" t="s">
        <v>87</v>
      </c>
      <c r="B13" s="39" t="s">
        <v>108</v>
      </c>
      <c r="C13" s="56">
        <f>SUM(C14:C16)</f>
        <v>69309</v>
      </c>
      <c r="D13" s="56"/>
      <c r="E13" s="56"/>
      <c r="F13" s="38">
        <v>0.5</v>
      </c>
      <c r="G13" s="127">
        <f>SUM(G14:G16)</f>
        <v>12467.130000000001</v>
      </c>
      <c r="H13" s="49"/>
      <c r="J13" s="125"/>
    </row>
    <row r="14" spans="1:10" ht="32.25" thickBot="1" x14ac:dyDescent="0.3">
      <c r="A14" s="9" t="s">
        <v>88</v>
      </c>
      <c r="B14" s="12" t="s">
        <v>109</v>
      </c>
      <c r="C14" s="55">
        <f>+ROUNDUP(24347.88,0.2)</f>
        <v>24348</v>
      </c>
      <c r="D14" s="74"/>
      <c r="E14" s="74"/>
      <c r="F14" s="82" t="s">
        <v>176</v>
      </c>
      <c r="G14" s="128">
        <v>6681.41</v>
      </c>
      <c r="H14" s="129"/>
      <c r="I14" s="125"/>
      <c r="J14" s="125"/>
    </row>
    <row r="15" spans="1:10" ht="48" thickBot="1" x14ac:dyDescent="0.3">
      <c r="A15" s="9" t="s">
        <v>89</v>
      </c>
      <c r="B15" s="12" t="s">
        <v>110</v>
      </c>
      <c r="C15" s="55">
        <f>+ROUNDUP(21083.4899999999,0.5)</f>
        <v>21084</v>
      </c>
      <c r="D15" s="74"/>
      <c r="E15" s="74"/>
      <c r="F15" s="82" t="s">
        <v>176</v>
      </c>
      <c r="G15" s="128">
        <v>5785.72</v>
      </c>
      <c r="H15" s="129"/>
      <c r="I15" s="125"/>
      <c r="J15" s="125"/>
    </row>
    <row r="16" spans="1:10" ht="32.25" thickBot="1" x14ac:dyDescent="0.3">
      <c r="A16" s="9" t="s">
        <v>90</v>
      </c>
      <c r="B16" s="12" t="s">
        <v>111</v>
      </c>
      <c r="C16" s="55">
        <f>+ROUNDUP(23876.58,0.2)</f>
        <v>23877</v>
      </c>
      <c r="D16" s="74"/>
      <c r="E16" s="74"/>
      <c r="F16" s="82" t="s">
        <v>176</v>
      </c>
      <c r="G16" s="128">
        <v>0</v>
      </c>
      <c r="H16" s="48"/>
      <c r="J16" s="125"/>
    </row>
    <row r="17" spans="1:10" ht="48" thickBot="1" x14ac:dyDescent="0.3">
      <c r="A17" s="36" t="s">
        <v>91</v>
      </c>
      <c r="B17" s="39" t="s">
        <v>112</v>
      </c>
      <c r="C17" s="56">
        <f>SUM(C18:C20)</f>
        <v>218125</v>
      </c>
      <c r="D17" s="56"/>
      <c r="E17" s="56"/>
      <c r="F17" s="38">
        <v>0.4</v>
      </c>
      <c r="G17" s="127">
        <f>SUM(G18:G20)</f>
        <v>34714.879999999997</v>
      </c>
      <c r="H17" s="49"/>
      <c r="J17" s="125"/>
    </row>
    <row r="18" spans="1:10" ht="63.75" thickBot="1" x14ac:dyDescent="0.3">
      <c r="A18" s="9" t="s">
        <v>92</v>
      </c>
      <c r="B18" s="12" t="s">
        <v>113</v>
      </c>
      <c r="C18" s="55">
        <f>ROUNDDOWN(50234.01,-0.1)</f>
        <v>50234</v>
      </c>
      <c r="D18" s="74"/>
      <c r="E18" s="74"/>
      <c r="F18" s="82" t="s">
        <v>176</v>
      </c>
      <c r="G18" s="128">
        <v>0</v>
      </c>
      <c r="H18" s="48"/>
      <c r="J18" s="125"/>
    </row>
    <row r="19" spans="1:10" ht="48" thickBot="1" x14ac:dyDescent="0.3">
      <c r="A19" s="9" t="s">
        <v>93</v>
      </c>
      <c r="B19" s="12" t="s">
        <v>114</v>
      </c>
      <c r="C19" s="55">
        <f>ROUNDUP(41384.72,0.8)</f>
        <v>41385</v>
      </c>
      <c r="D19" s="74"/>
      <c r="E19" s="74"/>
      <c r="F19" s="82" t="s">
        <v>176</v>
      </c>
      <c r="G19" s="128">
        <v>0</v>
      </c>
      <c r="H19" s="48"/>
      <c r="J19" s="125"/>
    </row>
    <row r="20" spans="1:10" ht="48" thickBot="1" x14ac:dyDescent="0.3">
      <c r="A20" s="9" t="s">
        <v>94</v>
      </c>
      <c r="B20" s="12" t="s">
        <v>115</v>
      </c>
      <c r="C20" s="57">
        <f>+ROUNDUP(126505.51,0.49)</f>
        <v>126506</v>
      </c>
      <c r="D20" s="75"/>
      <c r="E20" s="75"/>
      <c r="F20" s="82" t="s">
        <v>176</v>
      </c>
      <c r="G20" s="128">
        <v>34714.879999999997</v>
      </c>
      <c r="H20" s="130"/>
      <c r="I20" s="125"/>
      <c r="J20" s="125"/>
    </row>
    <row r="21" spans="1:10" ht="16.5" thickBot="1" x14ac:dyDescent="0.3">
      <c r="A21" s="154" t="s">
        <v>42</v>
      </c>
      <c r="B21" s="155"/>
      <c r="C21" s="119">
        <f>SUM(C9,C13,C17)</f>
        <v>755103</v>
      </c>
      <c r="D21" s="120"/>
      <c r="E21" s="121"/>
      <c r="F21" s="122"/>
      <c r="G21" s="119">
        <f>SUM(G9,G13,G17)</f>
        <v>175516.42</v>
      </c>
      <c r="H21" s="123"/>
    </row>
    <row r="22" spans="1:10" ht="51" customHeight="1" thickBot="1" x14ac:dyDescent="0.3">
      <c r="A22" s="169" t="s">
        <v>95</v>
      </c>
      <c r="B22" s="170"/>
      <c r="C22" s="171"/>
      <c r="D22" s="171"/>
      <c r="E22" s="171"/>
      <c r="F22" s="171"/>
      <c r="G22" s="171"/>
      <c r="H22" s="172"/>
    </row>
    <row r="23" spans="1:10" ht="30" customHeight="1" thickBot="1" x14ac:dyDescent="0.3">
      <c r="A23" s="36" t="s">
        <v>96</v>
      </c>
      <c r="B23" s="39" t="s">
        <v>116</v>
      </c>
      <c r="C23" s="56">
        <f>SUM(C24:C25)</f>
        <v>45219</v>
      </c>
      <c r="D23" s="56"/>
      <c r="E23" s="56"/>
      <c r="F23" s="38">
        <v>0.4</v>
      </c>
      <c r="G23" s="94">
        <f>SUM(G24:G25)</f>
        <v>0</v>
      </c>
      <c r="H23" s="49"/>
    </row>
    <row r="24" spans="1:10" ht="40.5" customHeight="1" thickBot="1" x14ac:dyDescent="0.3">
      <c r="A24" s="9" t="s">
        <v>97</v>
      </c>
      <c r="B24" s="12" t="s">
        <v>117</v>
      </c>
      <c r="C24" s="55">
        <f>+ROUNDUP(15217.89,0.11)</f>
        <v>15218</v>
      </c>
      <c r="D24" s="74"/>
      <c r="E24" s="74"/>
      <c r="F24" s="82" t="s">
        <v>176</v>
      </c>
      <c r="G24" s="93">
        <v>0</v>
      </c>
      <c r="H24" s="48"/>
    </row>
    <row r="25" spans="1:10" ht="32.25" thickBot="1" x14ac:dyDescent="0.3">
      <c r="A25" s="9" t="s">
        <v>98</v>
      </c>
      <c r="B25" s="12" t="s">
        <v>118</v>
      </c>
      <c r="C25" s="55">
        <f>ROUNDUP(30000.76,0.24)</f>
        <v>30001</v>
      </c>
      <c r="D25" s="74"/>
      <c r="E25" s="74"/>
      <c r="F25" s="82" t="s">
        <v>176</v>
      </c>
      <c r="G25" s="93">
        <v>0</v>
      </c>
      <c r="H25" s="48"/>
    </row>
    <row r="26" spans="1:10" ht="32.25" thickBot="1" x14ac:dyDescent="0.3">
      <c r="A26" s="36" t="s">
        <v>99</v>
      </c>
      <c r="B26" s="39" t="s">
        <v>119</v>
      </c>
      <c r="C26" s="56">
        <f>SUM(C27:C29)</f>
        <v>110427</v>
      </c>
      <c r="D26" s="56"/>
      <c r="E26" s="56"/>
      <c r="F26" s="38">
        <v>0.4</v>
      </c>
      <c r="G26" s="94">
        <f ca="1">SUM(G26:G29)</f>
        <v>0</v>
      </c>
      <c r="H26" s="49"/>
    </row>
    <row r="27" spans="1:10" ht="32.25" thickBot="1" x14ac:dyDescent="0.3">
      <c r="A27" s="9" t="s">
        <v>100</v>
      </c>
      <c r="B27" s="12" t="s">
        <v>120</v>
      </c>
      <c r="C27" s="55">
        <f>+ROUNDDOWN(798.389999999991,-0.39)</f>
        <v>798</v>
      </c>
      <c r="D27" s="74"/>
      <c r="E27" s="74"/>
      <c r="F27" s="82" t="s">
        <v>176</v>
      </c>
      <c r="G27" s="93">
        <v>0</v>
      </c>
      <c r="H27" s="48"/>
    </row>
    <row r="28" spans="1:10" ht="32.25" thickBot="1" x14ac:dyDescent="0.3">
      <c r="A28" s="9" t="s">
        <v>101</v>
      </c>
      <c r="B28" s="12" t="s">
        <v>121</v>
      </c>
      <c r="C28" s="55">
        <f>ROUNDDOWN(36837.4,-0.4)</f>
        <v>36837</v>
      </c>
      <c r="D28" s="74"/>
      <c r="E28" s="74"/>
      <c r="F28" s="82" t="s">
        <v>176</v>
      </c>
      <c r="G28" s="93">
        <v>0</v>
      </c>
      <c r="H28" s="48"/>
    </row>
    <row r="29" spans="1:10" ht="48" thickBot="1" x14ac:dyDescent="0.3">
      <c r="A29" s="9" t="s">
        <v>102</v>
      </c>
      <c r="B29" s="12" t="s">
        <v>122</v>
      </c>
      <c r="C29" s="57">
        <f>ROUNDDOWN(72792.47,-0.47)</f>
        <v>72792</v>
      </c>
      <c r="D29" s="75"/>
      <c r="E29" s="75"/>
      <c r="F29" s="82" t="s">
        <v>176</v>
      </c>
      <c r="G29" s="95">
        <v>0</v>
      </c>
      <c r="H29" s="50"/>
    </row>
    <row r="30" spans="1:10" ht="16.5" thickBot="1" x14ac:dyDescent="0.3">
      <c r="A30" s="154" t="s">
        <v>123</v>
      </c>
      <c r="B30" s="155" t="e">
        <f>B26+B23</f>
        <v>#VALUE!</v>
      </c>
      <c r="C30" s="119">
        <f>SUM(C23,C26)</f>
        <v>155646</v>
      </c>
      <c r="D30" s="121"/>
      <c r="E30" s="121"/>
      <c r="F30" s="122"/>
      <c r="G30" s="119">
        <v>0</v>
      </c>
      <c r="H30" s="123"/>
    </row>
    <row r="31" spans="1:10" s="41" customFormat="1" ht="16.5" thickBot="1" x14ac:dyDescent="0.3">
      <c r="A31" s="160" t="s">
        <v>124</v>
      </c>
      <c r="B31" s="162"/>
      <c r="C31" s="58">
        <f>C21+C30</f>
        <v>910749</v>
      </c>
      <c r="D31" s="58"/>
      <c r="E31" s="112"/>
      <c r="F31" s="40"/>
      <c r="G31" s="58">
        <f>G21+G30</f>
        <v>175516.42</v>
      </c>
      <c r="H31" s="51"/>
    </row>
    <row r="32" spans="1:10" ht="32.25" customHeight="1" thickBot="1" x14ac:dyDescent="0.3">
      <c r="A32" s="156" t="s">
        <v>135</v>
      </c>
      <c r="B32" s="157"/>
      <c r="C32" s="59">
        <f>SUM(C33:C61)</f>
        <v>106437</v>
      </c>
      <c r="D32" s="59">
        <f>SUM(D33:D68)</f>
        <v>109745</v>
      </c>
      <c r="E32" s="59"/>
      <c r="F32" s="42"/>
      <c r="G32" s="96">
        <f>SUM(G33:G68)</f>
        <v>76681.819999999992</v>
      </c>
      <c r="H32" s="131"/>
    </row>
    <row r="33" spans="1:8" ht="16.5" thickBot="1" x14ac:dyDescent="0.3">
      <c r="A33" s="43" t="s">
        <v>159</v>
      </c>
      <c r="B33" s="44" t="s">
        <v>127</v>
      </c>
      <c r="C33" s="60">
        <v>7320</v>
      </c>
      <c r="D33" s="114">
        <v>8000</v>
      </c>
      <c r="E33" s="70"/>
      <c r="F33" s="83"/>
      <c r="G33" s="93">
        <v>8810.23</v>
      </c>
      <c r="H33" s="132"/>
    </row>
    <row r="34" spans="1:8" ht="16.5" thickBot="1" x14ac:dyDescent="0.3">
      <c r="A34" s="43" t="s">
        <v>159</v>
      </c>
      <c r="B34" s="44" t="s">
        <v>128</v>
      </c>
      <c r="C34" s="60">
        <v>7925</v>
      </c>
      <c r="D34" s="115">
        <v>7500</v>
      </c>
      <c r="E34" s="70"/>
      <c r="F34" s="84"/>
      <c r="G34" s="93">
        <v>8123.01</v>
      </c>
      <c r="H34" s="48"/>
    </row>
    <row r="35" spans="1:8" ht="16.5" thickBot="1" x14ac:dyDescent="0.3">
      <c r="A35" s="43" t="s">
        <v>159</v>
      </c>
      <c r="B35" s="44" t="s">
        <v>129</v>
      </c>
      <c r="C35" s="60">
        <v>5970</v>
      </c>
      <c r="D35" s="115">
        <v>6200</v>
      </c>
      <c r="E35" s="70"/>
      <c r="F35" s="84"/>
      <c r="G35" s="93">
        <v>5241.25</v>
      </c>
      <c r="H35" s="48"/>
    </row>
    <row r="36" spans="1:8" ht="16.5" thickBot="1" x14ac:dyDescent="0.3">
      <c r="A36" s="43" t="s">
        <v>159</v>
      </c>
      <c r="B36" s="69" t="s">
        <v>143</v>
      </c>
      <c r="C36" s="60">
        <v>5960</v>
      </c>
      <c r="D36" s="72">
        <v>0</v>
      </c>
      <c r="E36" s="12"/>
      <c r="F36" s="12"/>
      <c r="G36" s="93">
        <v>0</v>
      </c>
      <c r="H36" s="48"/>
    </row>
    <row r="37" spans="1:8" ht="16.5" thickBot="1" x14ac:dyDescent="0.3">
      <c r="A37" s="43" t="s">
        <v>159</v>
      </c>
      <c r="B37" s="44" t="s">
        <v>142</v>
      </c>
      <c r="C37" s="60">
        <v>5960</v>
      </c>
      <c r="D37" s="115">
        <v>6500</v>
      </c>
      <c r="E37" s="70"/>
      <c r="F37" s="84"/>
      <c r="G37" s="93">
        <v>751.11</v>
      </c>
      <c r="H37" s="48"/>
    </row>
    <row r="38" spans="1:8" ht="16.5" thickBot="1" x14ac:dyDescent="0.3">
      <c r="A38" s="43" t="s">
        <v>159</v>
      </c>
      <c r="B38" s="44" t="s">
        <v>144</v>
      </c>
      <c r="C38" s="60">
        <v>13000</v>
      </c>
      <c r="D38" s="115">
        <v>13000</v>
      </c>
      <c r="E38" s="71"/>
      <c r="F38" s="84"/>
      <c r="G38" s="93">
        <v>178.12</v>
      </c>
      <c r="H38" s="48"/>
    </row>
    <row r="39" spans="1:8" ht="16.5" thickBot="1" x14ac:dyDescent="0.3">
      <c r="A39" s="43" t="s">
        <v>159</v>
      </c>
      <c r="B39" s="44" t="s">
        <v>145</v>
      </c>
      <c r="C39" s="60">
        <f>+ROUNDDOWN(10574.0236842105,-0.02)</f>
        <v>10574</v>
      </c>
      <c r="D39" s="115">
        <v>11000</v>
      </c>
      <c r="E39" s="70"/>
      <c r="F39" s="84"/>
      <c r="G39" s="93">
        <v>110</v>
      </c>
      <c r="H39" s="48"/>
    </row>
    <row r="40" spans="1:8" ht="16.5" thickBot="1" x14ac:dyDescent="0.3">
      <c r="A40" s="43" t="s">
        <v>159</v>
      </c>
      <c r="B40" s="44" t="s">
        <v>77</v>
      </c>
      <c r="C40" s="60">
        <v>2100</v>
      </c>
      <c r="D40" s="115">
        <v>3100</v>
      </c>
      <c r="E40" s="70"/>
      <c r="F40" s="84"/>
      <c r="G40" s="93">
        <v>1518.16</v>
      </c>
      <c r="H40" s="48"/>
    </row>
    <row r="41" spans="1:8" ht="16.5" thickBot="1" x14ac:dyDescent="0.3">
      <c r="A41" s="43" t="s">
        <v>159</v>
      </c>
      <c r="B41" s="44" t="s">
        <v>76</v>
      </c>
      <c r="C41" s="60">
        <v>2100</v>
      </c>
      <c r="D41" s="115">
        <v>3100</v>
      </c>
      <c r="E41" s="70"/>
      <c r="F41" s="84"/>
      <c r="G41" s="93">
        <v>2110.66</v>
      </c>
      <c r="H41" s="48"/>
    </row>
    <row r="42" spans="1:8" ht="16.5" thickBot="1" x14ac:dyDescent="0.3">
      <c r="A42" s="43" t="s">
        <v>159</v>
      </c>
      <c r="B42" s="44" t="s">
        <v>146</v>
      </c>
      <c r="C42" s="60">
        <v>1350</v>
      </c>
      <c r="D42" s="115">
        <v>1700</v>
      </c>
      <c r="E42" s="70"/>
      <c r="F42" s="84"/>
      <c r="G42" s="93">
        <v>625.83000000000004</v>
      </c>
      <c r="H42" s="48"/>
    </row>
    <row r="43" spans="1:8" ht="16.5" thickBot="1" x14ac:dyDescent="0.3">
      <c r="A43" s="43" t="s">
        <v>159</v>
      </c>
      <c r="B43" s="44" t="s">
        <v>74</v>
      </c>
      <c r="C43" s="60">
        <v>1050</v>
      </c>
      <c r="D43" s="115">
        <v>1000</v>
      </c>
      <c r="E43" s="70"/>
      <c r="F43" s="84"/>
      <c r="G43" s="93">
        <v>763.48</v>
      </c>
      <c r="H43" s="48"/>
    </row>
    <row r="44" spans="1:8" ht="16.5" thickBot="1" x14ac:dyDescent="0.3">
      <c r="A44" s="43" t="s">
        <v>159</v>
      </c>
      <c r="B44" s="44" t="s">
        <v>147</v>
      </c>
      <c r="C44" s="60">
        <v>1350</v>
      </c>
      <c r="D44" s="115">
        <v>1700</v>
      </c>
      <c r="E44" s="70"/>
      <c r="F44" s="84"/>
      <c r="G44" s="93">
        <v>578.62</v>
      </c>
      <c r="H44" s="48"/>
    </row>
    <row r="45" spans="1:8" ht="16.5" thickBot="1" x14ac:dyDescent="0.3">
      <c r="A45" s="43" t="s">
        <v>159</v>
      </c>
      <c r="B45" s="44" t="s">
        <v>148</v>
      </c>
      <c r="C45" s="60">
        <v>1080</v>
      </c>
      <c r="D45" s="115">
        <v>950</v>
      </c>
      <c r="E45" s="70"/>
      <c r="F45" s="84"/>
      <c r="G45" s="93">
        <v>609.35</v>
      </c>
      <c r="H45" s="48"/>
    </row>
    <row r="46" spans="1:8" ht="16.5" thickBot="1" x14ac:dyDescent="0.3">
      <c r="A46" s="43" t="s">
        <v>159</v>
      </c>
      <c r="B46" s="44" t="s">
        <v>149</v>
      </c>
      <c r="C46" s="60">
        <v>2100</v>
      </c>
      <c r="D46" s="115">
        <v>3100</v>
      </c>
      <c r="E46" s="70"/>
      <c r="F46" s="84"/>
      <c r="G46" s="93">
        <v>2179.7399999999998</v>
      </c>
      <c r="H46" s="48"/>
    </row>
    <row r="47" spans="1:8" ht="16.5" thickBot="1" x14ac:dyDescent="0.3">
      <c r="A47" s="43" t="s">
        <v>159</v>
      </c>
      <c r="B47" s="69" t="s">
        <v>150</v>
      </c>
      <c r="C47" s="60">
        <v>950</v>
      </c>
      <c r="D47" s="115">
        <v>950</v>
      </c>
      <c r="E47" s="71"/>
      <c r="F47" s="84"/>
      <c r="G47" s="93">
        <v>857.79</v>
      </c>
      <c r="H47" s="48"/>
    </row>
    <row r="48" spans="1:8" ht="16.5" thickBot="1" x14ac:dyDescent="0.3">
      <c r="A48" s="43" t="s">
        <v>159</v>
      </c>
      <c r="B48" s="69" t="s">
        <v>151</v>
      </c>
      <c r="C48" s="60">
        <v>1250</v>
      </c>
      <c r="D48" s="115">
        <v>1200</v>
      </c>
      <c r="E48" s="70"/>
      <c r="F48" s="84"/>
      <c r="G48" s="93">
        <v>709.63</v>
      </c>
      <c r="H48" s="48"/>
    </row>
    <row r="49" spans="1:8" ht="16.5" thickBot="1" x14ac:dyDescent="0.3">
      <c r="A49" s="43" t="s">
        <v>159</v>
      </c>
      <c r="B49" s="69" t="s">
        <v>152</v>
      </c>
      <c r="C49" s="60">
        <v>1250</v>
      </c>
      <c r="D49" s="115">
        <v>1700</v>
      </c>
      <c r="E49" s="70"/>
      <c r="F49" s="84"/>
      <c r="G49" s="93">
        <v>750.68</v>
      </c>
      <c r="H49" s="48"/>
    </row>
    <row r="50" spans="1:8" ht="16.5" thickBot="1" x14ac:dyDescent="0.3">
      <c r="A50" s="43" t="s">
        <v>159</v>
      </c>
      <c r="B50" s="69" t="s">
        <v>153</v>
      </c>
      <c r="C50" s="60">
        <v>1020</v>
      </c>
      <c r="D50" s="115">
        <v>750</v>
      </c>
      <c r="E50" s="70"/>
      <c r="F50" s="84"/>
      <c r="G50" s="93">
        <v>150</v>
      </c>
      <c r="H50" s="48"/>
    </row>
    <row r="51" spans="1:8" ht="16.5" thickBot="1" x14ac:dyDescent="0.3">
      <c r="A51" s="43" t="s">
        <v>159</v>
      </c>
      <c r="B51" s="69" t="s">
        <v>154</v>
      </c>
      <c r="C51" s="60">
        <v>750</v>
      </c>
      <c r="D51" s="115">
        <v>650</v>
      </c>
      <c r="E51" s="70"/>
      <c r="F51" s="84"/>
      <c r="G51" s="93">
        <v>912.73</v>
      </c>
      <c r="H51" s="48"/>
    </row>
    <row r="52" spans="1:8" ht="16.5" thickBot="1" x14ac:dyDescent="0.3">
      <c r="A52" s="43" t="s">
        <v>159</v>
      </c>
      <c r="B52" s="69" t="s">
        <v>161</v>
      </c>
      <c r="C52" s="60">
        <v>450</v>
      </c>
      <c r="D52" s="115">
        <v>450</v>
      </c>
      <c r="E52" s="71"/>
      <c r="F52" s="84"/>
      <c r="G52" s="93">
        <v>420.75</v>
      </c>
      <c r="H52" s="48"/>
    </row>
    <row r="53" spans="1:8" ht="16.5" thickBot="1" x14ac:dyDescent="0.3">
      <c r="A53" s="43" t="s">
        <v>159</v>
      </c>
      <c r="B53" s="69" t="s">
        <v>22</v>
      </c>
      <c r="C53" s="60">
        <v>50</v>
      </c>
      <c r="D53" s="115">
        <v>50</v>
      </c>
      <c r="E53" s="71"/>
      <c r="F53" s="84"/>
      <c r="G53" s="93">
        <v>794.2</v>
      </c>
      <c r="H53" s="48"/>
    </row>
    <row r="54" spans="1:8" ht="16.5" thickBot="1" x14ac:dyDescent="0.3">
      <c r="A54" s="43" t="s">
        <v>159</v>
      </c>
      <c r="B54" s="69" t="s">
        <v>157</v>
      </c>
      <c r="C54" s="60">
        <f>+ROUNDDOWN(6611.07724171512,-0.07)</f>
        <v>6611</v>
      </c>
      <c r="D54" s="115">
        <v>6700</v>
      </c>
      <c r="E54" s="70"/>
      <c r="F54" s="84"/>
      <c r="G54" s="93">
        <v>67</v>
      </c>
      <c r="H54" s="48"/>
    </row>
    <row r="55" spans="1:8" ht="16.5" thickBot="1" x14ac:dyDescent="0.3">
      <c r="A55" s="43" t="s">
        <v>159</v>
      </c>
      <c r="B55" s="69" t="s">
        <v>156</v>
      </c>
      <c r="C55" s="60">
        <f>+ROUNDUP(8060.77468615178,0.23)</f>
        <v>8061</v>
      </c>
      <c r="D55" s="115">
        <v>7500</v>
      </c>
      <c r="E55" s="70"/>
      <c r="F55" s="84"/>
      <c r="G55" s="93">
        <v>75</v>
      </c>
      <c r="H55" s="48"/>
    </row>
    <row r="56" spans="1:8" ht="16.5" thickBot="1" x14ac:dyDescent="0.3">
      <c r="A56" s="43" t="s">
        <v>159</v>
      </c>
      <c r="B56" s="69" t="s">
        <v>158</v>
      </c>
      <c r="C56" s="60">
        <f>+ROUNDUP(7710.8044664108,0.2)</f>
        <v>7711</v>
      </c>
      <c r="D56" s="115">
        <v>8000</v>
      </c>
      <c r="E56" s="70"/>
      <c r="F56" s="84"/>
      <c r="G56" s="93">
        <v>80</v>
      </c>
      <c r="H56" s="48"/>
    </row>
    <row r="57" spans="1:8" ht="16.5" thickBot="1" x14ac:dyDescent="0.3">
      <c r="A57" s="43" t="s">
        <v>159</v>
      </c>
      <c r="B57" s="69" t="s">
        <v>155</v>
      </c>
      <c r="C57" s="60">
        <v>650</v>
      </c>
      <c r="D57" s="115">
        <v>0</v>
      </c>
      <c r="E57" s="70"/>
      <c r="F57" s="84"/>
      <c r="G57" s="93">
        <v>0</v>
      </c>
      <c r="H57" s="48"/>
    </row>
    <row r="58" spans="1:8" ht="16.5" thickBot="1" x14ac:dyDescent="0.3">
      <c r="A58" s="43" t="s">
        <v>160</v>
      </c>
      <c r="B58" s="69" t="s">
        <v>162</v>
      </c>
      <c r="C58" s="60">
        <v>4900</v>
      </c>
      <c r="D58" s="115">
        <v>4900</v>
      </c>
      <c r="E58" s="71"/>
      <c r="F58" s="84"/>
      <c r="G58" s="93">
        <v>11760</v>
      </c>
      <c r="H58" s="48"/>
    </row>
    <row r="59" spans="1:8" ht="16.5" thickBot="1" x14ac:dyDescent="0.3">
      <c r="A59" s="43" t="s">
        <v>160</v>
      </c>
      <c r="B59" s="69" t="s">
        <v>163</v>
      </c>
      <c r="C59" s="60">
        <v>2027</v>
      </c>
      <c r="D59" s="115">
        <v>2027</v>
      </c>
      <c r="E59" s="71"/>
      <c r="F59" s="84"/>
      <c r="G59" s="93">
        <v>4864.8</v>
      </c>
      <c r="H59" s="48"/>
    </row>
    <row r="60" spans="1:8" ht="16.5" thickBot="1" x14ac:dyDescent="0.3">
      <c r="A60" s="43" t="s">
        <v>160</v>
      </c>
      <c r="B60" s="69" t="s">
        <v>164</v>
      </c>
      <c r="C60" s="60">
        <v>1518</v>
      </c>
      <c r="D60" s="115">
        <v>1518</v>
      </c>
      <c r="E60" s="72"/>
      <c r="F60" s="84"/>
      <c r="G60" s="93">
        <v>4857.3999999999996</v>
      </c>
      <c r="H60" s="48"/>
    </row>
    <row r="61" spans="1:8" ht="16.5" thickBot="1" x14ac:dyDescent="0.3">
      <c r="A61" s="43" t="s">
        <v>160</v>
      </c>
      <c r="B61" s="69" t="s">
        <v>130</v>
      </c>
      <c r="C61" s="60">
        <v>1400</v>
      </c>
      <c r="D61" s="115">
        <v>1400</v>
      </c>
      <c r="E61" s="71"/>
      <c r="F61" s="84"/>
      <c r="G61" s="93">
        <v>5600</v>
      </c>
      <c r="H61" s="48"/>
    </row>
    <row r="62" spans="1:8" ht="16.5" thickBot="1" x14ac:dyDescent="0.3">
      <c r="A62" s="117" t="s">
        <v>165</v>
      </c>
      <c r="B62" s="116" t="s">
        <v>167</v>
      </c>
      <c r="C62" s="62"/>
      <c r="D62" s="115">
        <v>1500</v>
      </c>
      <c r="E62" s="70"/>
      <c r="F62" s="84"/>
      <c r="G62" s="93">
        <v>4800</v>
      </c>
      <c r="H62" s="48"/>
    </row>
    <row r="63" spans="1:8" ht="16.5" thickBot="1" x14ac:dyDescent="0.3">
      <c r="A63" s="117" t="s">
        <v>165</v>
      </c>
      <c r="B63" s="116" t="s">
        <v>168</v>
      </c>
      <c r="C63" s="62"/>
      <c r="D63" s="115">
        <v>900</v>
      </c>
      <c r="E63" s="70"/>
      <c r="F63" s="84"/>
      <c r="G63" s="93">
        <v>2880</v>
      </c>
      <c r="H63" s="48"/>
    </row>
    <row r="64" spans="1:8" ht="16.5" thickBot="1" x14ac:dyDescent="0.3">
      <c r="A64" s="117" t="s">
        <v>166</v>
      </c>
      <c r="B64" s="116" t="s">
        <v>169</v>
      </c>
      <c r="C64" s="62"/>
      <c r="D64" s="115">
        <v>1200</v>
      </c>
      <c r="E64" s="70"/>
      <c r="F64" s="84"/>
      <c r="G64" s="93">
        <v>2403.4299999999998</v>
      </c>
      <c r="H64" s="48"/>
    </row>
    <row r="65" spans="1:8" ht="16.5" thickBot="1" x14ac:dyDescent="0.3">
      <c r="A65" s="117" t="s">
        <v>166</v>
      </c>
      <c r="B65" s="116" t="s">
        <v>168</v>
      </c>
      <c r="C65" s="62"/>
      <c r="D65" s="115">
        <v>600</v>
      </c>
      <c r="E65" s="70"/>
      <c r="F65" s="84"/>
      <c r="G65" s="93">
        <v>1201.25</v>
      </c>
      <c r="H65" s="48"/>
    </row>
    <row r="66" spans="1:8" ht="16.5" thickBot="1" x14ac:dyDescent="0.3">
      <c r="A66" s="117" t="s">
        <v>166</v>
      </c>
      <c r="B66" s="116" t="s">
        <v>170</v>
      </c>
      <c r="C66" s="62"/>
      <c r="D66" s="115">
        <v>500</v>
      </c>
      <c r="E66" s="70"/>
      <c r="F66" s="84"/>
      <c r="G66" s="93">
        <v>1004.15</v>
      </c>
      <c r="H66" s="48"/>
    </row>
    <row r="67" spans="1:8" ht="16.5" thickBot="1" x14ac:dyDescent="0.3">
      <c r="A67" s="117" t="s">
        <v>166</v>
      </c>
      <c r="B67" s="116" t="s">
        <v>171</v>
      </c>
      <c r="C67" s="62"/>
      <c r="D67" s="115">
        <v>350</v>
      </c>
      <c r="E67" s="70"/>
      <c r="F67" s="84"/>
      <c r="G67" s="93">
        <v>702.45</v>
      </c>
      <c r="H67" s="48"/>
    </row>
    <row r="68" spans="1:8" ht="16.5" thickBot="1" x14ac:dyDescent="0.3">
      <c r="A68" s="117" t="s">
        <v>166</v>
      </c>
      <c r="B68" s="116" t="s">
        <v>172</v>
      </c>
      <c r="C68" s="62"/>
      <c r="D68" s="72">
        <v>50</v>
      </c>
      <c r="E68" s="70"/>
      <c r="F68" s="84"/>
      <c r="G68" s="93">
        <v>191</v>
      </c>
      <c r="H68" s="48"/>
    </row>
    <row r="69" spans="1:8" ht="16.5" thickBot="1" x14ac:dyDescent="0.3">
      <c r="A69" s="158" t="s">
        <v>134</v>
      </c>
      <c r="B69" s="159"/>
      <c r="C69" s="61">
        <f>SUM(C70:C75)</f>
        <v>51448</v>
      </c>
      <c r="D69" s="61"/>
      <c r="E69" s="61"/>
      <c r="F69" s="45">
        <f>SUM(F70:F75)</f>
        <v>0</v>
      </c>
      <c r="G69" s="97">
        <f>SUM(G70:G75)</f>
        <v>48873.099999999991</v>
      </c>
      <c r="H69" s="45">
        <f>SUM(H70:H75)</f>
        <v>0</v>
      </c>
    </row>
    <row r="70" spans="1:8" ht="16.5" thickBot="1" x14ac:dyDescent="0.3">
      <c r="B70" s="6" t="s">
        <v>136</v>
      </c>
      <c r="C70" s="62">
        <v>3150</v>
      </c>
      <c r="D70" s="85"/>
      <c r="E70" s="85"/>
      <c r="F70" s="84"/>
      <c r="G70" s="93">
        <v>9314.7199999999993</v>
      </c>
      <c r="H70" s="134" t="s">
        <v>193</v>
      </c>
    </row>
    <row r="71" spans="1:8" ht="16.5" thickBot="1" x14ac:dyDescent="0.3">
      <c r="B71" s="6" t="s">
        <v>137</v>
      </c>
      <c r="C71" s="62">
        <v>965</v>
      </c>
      <c r="D71" s="76"/>
      <c r="E71" s="76"/>
      <c r="F71" s="84"/>
      <c r="G71" s="93">
        <v>0</v>
      </c>
      <c r="H71" s="48"/>
    </row>
    <row r="72" spans="1:8" ht="16.5" thickBot="1" x14ac:dyDescent="0.3">
      <c r="B72" s="6" t="s">
        <v>138</v>
      </c>
      <c r="C72" s="62">
        <v>3290</v>
      </c>
      <c r="D72" s="76"/>
      <c r="E72" s="76"/>
      <c r="F72" s="84"/>
      <c r="G72" s="93">
        <v>12293.98</v>
      </c>
      <c r="H72" s="48"/>
    </row>
    <row r="73" spans="1:8" ht="16.5" thickBot="1" x14ac:dyDescent="0.3">
      <c r="B73" s="6" t="s">
        <v>139</v>
      </c>
      <c r="C73" s="62">
        <f>ROUNDUP(19992.75+1700,0.23)</f>
        <v>21693</v>
      </c>
      <c r="D73" s="76"/>
      <c r="E73" s="76"/>
      <c r="F73" s="84"/>
      <c r="G73" s="93">
        <v>3665.69</v>
      </c>
      <c r="H73" s="48"/>
    </row>
    <row r="74" spans="1:8" ht="32.25" thickBot="1" x14ac:dyDescent="0.3">
      <c r="B74" s="6" t="s">
        <v>140</v>
      </c>
      <c r="C74" s="62">
        <v>21150</v>
      </c>
      <c r="D74" s="76"/>
      <c r="E74" s="76"/>
      <c r="F74" s="84"/>
      <c r="G74" s="93">
        <v>20698.71</v>
      </c>
      <c r="H74" s="134" t="s">
        <v>192</v>
      </c>
    </row>
    <row r="75" spans="1:8" ht="16.5" thickBot="1" x14ac:dyDescent="0.3">
      <c r="B75" s="6" t="s">
        <v>141</v>
      </c>
      <c r="C75" s="62">
        <v>1200</v>
      </c>
      <c r="D75" s="86"/>
      <c r="E75" s="86"/>
      <c r="F75" s="84"/>
      <c r="G75" s="95">
        <v>2900</v>
      </c>
      <c r="H75" s="50"/>
    </row>
    <row r="76" spans="1:8" ht="16.5" thickBot="1" x14ac:dyDescent="0.3">
      <c r="A76" s="156" t="s">
        <v>126</v>
      </c>
      <c r="B76" s="157"/>
      <c r="C76" s="61">
        <f>SUM(C77:C89)</f>
        <v>99590</v>
      </c>
      <c r="D76" s="61">
        <f>SUM(D77:D89)</f>
        <v>98980</v>
      </c>
      <c r="E76" s="61"/>
      <c r="F76" s="45">
        <f>SUM(F77:F89)</f>
        <v>0</v>
      </c>
      <c r="G76" s="97">
        <f>SUM(G77:G89)</f>
        <v>29717.17</v>
      </c>
      <c r="H76" s="45">
        <f>SUM(H77:H89)</f>
        <v>0</v>
      </c>
    </row>
    <row r="77" spans="1:8" ht="16.5" thickBot="1" x14ac:dyDescent="0.3">
      <c r="B77" s="6" t="s">
        <v>184</v>
      </c>
      <c r="C77" s="62">
        <v>6750</v>
      </c>
      <c r="D77" s="111">
        <v>9180</v>
      </c>
      <c r="E77" s="76"/>
      <c r="F77" s="84"/>
      <c r="G77" s="98">
        <v>1837.31</v>
      </c>
      <c r="H77" s="48"/>
    </row>
    <row r="78" spans="1:8" ht="16.5" thickBot="1" x14ac:dyDescent="0.3">
      <c r="B78" s="6" t="s">
        <v>174</v>
      </c>
      <c r="C78" s="62">
        <v>34200</v>
      </c>
      <c r="D78" s="111">
        <v>17100</v>
      </c>
      <c r="E78" s="76"/>
      <c r="F78" s="84"/>
      <c r="G78" s="98">
        <v>5899.32</v>
      </c>
      <c r="H78" s="48"/>
    </row>
    <row r="79" spans="1:8" ht="16.5" thickBot="1" x14ac:dyDescent="0.3">
      <c r="B79" s="109" t="s">
        <v>185</v>
      </c>
      <c r="C79" s="62"/>
      <c r="D79" s="111">
        <v>6480</v>
      </c>
      <c r="E79" s="76"/>
      <c r="F79" s="84"/>
      <c r="G79" s="98">
        <v>1300.44</v>
      </c>
      <c r="H79" s="80"/>
    </row>
    <row r="80" spans="1:8" ht="160.5" customHeight="1" thickBot="1" x14ac:dyDescent="0.3">
      <c r="B80" s="73" t="s">
        <v>186</v>
      </c>
      <c r="C80" s="62"/>
      <c r="D80" s="111"/>
      <c r="E80" s="76">
        <v>2800</v>
      </c>
      <c r="F80" s="84"/>
      <c r="G80" s="98">
        <v>0</v>
      </c>
      <c r="H80" s="135" t="s">
        <v>191</v>
      </c>
    </row>
    <row r="81" spans="1:8" ht="16.5" thickBot="1" x14ac:dyDescent="0.3">
      <c r="B81" s="109" t="s">
        <v>187</v>
      </c>
      <c r="C81" s="62">
        <v>8640</v>
      </c>
      <c r="D81" s="111">
        <v>15120</v>
      </c>
      <c r="E81" s="76"/>
      <c r="F81" s="84"/>
      <c r="G81" s="98">
        <v>6720</v>
      </c>
      <c r="H81" s="48"/>
    </row>
    <row r="82" spans="1:8" ht="16.5" thickBot="1" x14ac:dyDescent="0.3">
      <c r="B82" s="109" t="s">
        <v>188</v>
      </c>
      <c r="C82" s="62"/>
      <c r="D82" s="111">
        <v>350</v>
      </c>
      <c r="E82" s="76"/>
      <c r="F82" s="84"/>
      <c r="G82" s="98">
        <v>840</v>
      </c>
      <c r="H82" s="80"/>
    </row>
    <row r="83" spans="1:8" ht="16.5" thickBot="1" x14ac:dyDescent="0.3">
      <c r="B83" s="109" t="s">
        <v>173</v>
      </c>
      <c r="C83" s="62"/>
      <c r="D83" s="74">
        <v>750</v>
      </c>
      <c r="E83" s="74"/>
      <c r="F83" s="84"/>
      <c r="G83" s="98">
        <v>731.1</v>
      </c>
      <c r="H83" s="80"/>
    </row>
    <row r="84" spans="1:8" ht="16.5" thickBot="1" x14ac:dyDescent="0.3">
      <c r="B84" s="109" t="s">
        <v>175</v>
      </c>
      <c r="C84" s="110"/>
      <c r="D84" s="111">
        <v>7000</v>
      </c>
      <c r="E84" s="111"/>
      <c r="F84" s="84"/>
      <c r="G84" s="98">
        <v>6973.38</v>
      </c>
      <c r="H84" s="174" t="s">
        <v>183</v>
      </c>
    </row>
    <row r="85" spans="1:8" ht="30.75" customHeight="1" thickBot="1" x14ac:dyDescent="0.3">
      <c r="B85" s="109" t="s">
        <v>178</v>
      </c>
      <c r="C85" s="110"/>
      <c r="D85" s="111">
        <v>3000</v>
      </c>
      <c r="E85" s="111"/>
      <c r="F85" s="84"/>
      <c r="G85" s="98">
        <v>415.62</v>
      </c>
      <c r="H85" s="175"/>
    </row>
    <row r="86" spans="1:8" ht="64.5" customHeight="1" thickBot="1" x14ac:dyDescent="0.3">
      <c r="B86" s="6" t="s">
        <v>131</v>
      </c>
      <c r="C86" s="62">
        <v>5000</v>
      </c>
      <c r="D86" s="74">
        <v>5000</v>
      </c>
      <c r="E86" s="74"/>
      <c r="F86" s="84"/>
      <c r="G86" s="98">
        <v>5000</v>
      </c>
      <c r="H86" s="176"/>
    </row>
    <row r="87" spans="1:8" ht="16.5" thickBot="1" x14ac:dyDescent="0.3">
      <c r="B87" s="6" t="s">
        <v>132</v>
      </c>
      <c r="C87" s="62">
        <v>5000</v>
      </c>
      <c r="D87" s="74">
        <v>5000</v>
      </c>
      <c r="E87" s="74"/>
      <c r="F87" s="84"/>
      <c r="G87" s="98">
        <v>0</v>
      </c>
      <c r="H87" s="48"/>
    </row>
    <row r="88" spans="1:8" ht="16.5" thickBot="1" x14ac:dyDescent="0.3">
      <c r="B88" s="6" t="s">
        <v>75</v>
      </c>
      <c r="C88" s="62">
        <v>25000</v>
      </c>
      <c r="D88" s="111">
        <v>15000</v>
      </c>
      <c r="E88" s="76"/>
      <c r="F88" s="84"/>
      <c r="G88" s="98">
        <v>0</v>
      </c>
      <c r="H88" s="80"/>
    </row>
    <row r="89" spans="1:8" ht="16.5" thickBot="1" x14ac:dyDescent="0.3">
      <c r="B89" s="6" t="s">
        <v>133</v>
      </c>
      <c r="C89" s="63">
        <v>15000</v>
      </c>
      <c r="D89" s="75">
        <v>15000</v>
      </c>
      <c r="E89" s="75"/>
      <c r="F89" s="84"/>
      <c r="G89" s="98">
        <v>0</v>
      </c>
      <c r="H89" s="48"/>
    </row>
    <row r="90" spans="1:8" ht="16.5" thickBot="1" x14ac:dyDescent="0.3">
      <c r="A90" s="160" t="s">
        <v>43</v>
      </c>
      <c r="B90" s="161"/>
      <c r="C90" s="64">
        <f>SUM(C76,C69,C32)</f>
        <v>257475</v>
      </c>
      <c r="D90" s="64"/>
      <c r="E90" s="64"/>
      <c r="F90" s="46">
        <f>SUM(F76,F69,F32)</f>
        <v>0</v>
      </c>
      <c r="G90" s="99">
        <f>SUM(G76,G69,G32)</f>
        <v>155272.08999999997</v>
      </c>
      <c r="H90" s="46">
        <f>SUM(H76,H69,H32)</f>
        <v>0</v>
      </c>
    </row>
    <row r="91" spans="1:8" ht="65.25" customHeight="1" thickBot="1" x14ac:dyDescent="0.3">
      <c r="A91" s="156" t="s">
        <v>3</v>
      </c>
      <c r="B91" s="157"/>
      <c r="C91" s="61">
        <v>81776</v>
      </c>
      <c r="D91" s="113">
        <v>86000</v>
      </c>
      <c r="E91" s="81"/>
      <c r="F91" s="61"/>
      <c r="G91" s="97"/>
      <c r="H91" s="80"/>
    </row>
    <row r="92" spans="1:8" ht="16.5" thickBot="1" x14ac:dyDescent="0.3">
      <c r="A92" s="163" t="s">
        <v>4</v>
      </c>
      <c r="B92" s="164"/>
      <c r="C92" s="65">
        <f>SUM(C91,C90,C31)</f>
        <v>1250000</v>
      </c>
      <c r="D92" s="65"/>
      <c r="E92" s="65"/>
      <c r="F92" s="47">
        <f>SUM(F91,F90,F31)</f>
        <v>0</v>
      </c>
      <c r="G92" s="100">
        <f>SUM(G91,G90,G31)</f>
        <v>330788.51</v>
      </c>
      <c r="H92" s="47">
        <f>SUM(H91,H90,H31)</f>
        <v>0</v>
      </c>
    </row>
    <row r="93" spans="1:8" x14ac:dyDescent="0.25">
      <c r="A93"/>
    </row>
    <row r="94" spans="1:8" x14ac:dyDescent="0.25">
      <c r="F94" s="31"/>
      <c r="G94" s="124"/>
    </row>
    <row r="96" spans="1:8" x14ac:dyDescent="0.25">
      <c r="B96" s="15"/>
    </row>
  </sheetData>
  <mergeCells count="14">
    <mergeCell ref="A92:B92"/>
    <mergeCell ref="A91:B91"/>
    <mergeCell ref="A8:H8"/>
    <mergeCell ref="A22:H22"/>
    <mergeCell ref="A3:C3"/>
    <mergeCell ref="H84:H86"/>
    <mergeCell ref="A1:B1"/>
    <mergeCell ref="A21:B21"/>
    <mergeCell ref="A76:B76"/>
    <mergeCell ref="A69:B69"/>
    <mergeCell ref="A90:B90"/>
    <mergeCell ref="A30:B30"/>
    <mergeCell ref="A31:B31"/>
    <mergeCell ref="A32:B32"/>
  </mergeCells>
  <pageMargins left="0.7" right="0.7" top="0.75" bottom="0.75" header="0.3" footer="0.3"/>
  <pageSetup scale="54" fitToHeight="0" orientation="landscape" r:id="rId1"/>
  <rowBreaks count="1" manualBreakCount="1">
    <brk id="1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topLeftCell="A13" workbookViewId="0">
      <selection activeCell="B25" sqref="B25"/>
    </sheetView>
  </sheetViews>
  <sheetFormatPr defaultColWidth="9" defaultRowHeight="15" x14ac:dyDescent="0.25"/>
  <cols>
    <col min="1" max="1" width="9" style="16"/>
    <col min="2" max="2" width="38.85546875" style="17" customWidth="1"/>
    <col min="3" max="3" width="15.28515625" style="16" customWidth="1"/>
    <col min="4" max="4" width="79.5703125" style="16" customWidth="1"/>
    <col min="5" max="16384" width="9" style="16"/>
  </cols>
  <sheetData>
    <row r="2" spans="2:4" ht="15.75" thickBot="1" x14ac:dyDescent="0.3"/>
    <row r="3" spans="2:4" ht="26.25" thickBot="1" x14ac:dyDescent="0.25">
      <c r="B3" s="25" t="s">
        <v>44</v>
      </c>
      <c r="C3" s="26" t="s">
        <v>64</v>
      </c>
      <c r="D3" s="27" t="s">
        <v>45</v>
      </c>
    </row>
    <row r="4" spans="2:4" ht="38.25" x14ac:dyDescent="0.2">
      <c r="B4" s="18" t="s">
        <v>41</v>
      </c>
      <c r="C4" s="19">
        <v>0.12</v>
      </c>
      <c r="D4" s="28" t="s">
        <v>68</v>
      </c>
    </row>
    <row r="5" spans="2:4" ht="38.25" x14ac:dyDescent="0.2">
      <c r="B5" s="20" t="s">
        <v>40</v>
      </c>
      <c r="C5" s="21">
        <v>0.12</v>
      </c>
      <c r="D5" s="28" t="s">
        <v>69</v>
      </c>
    </row>
    <row r="6" spans="2:4" ht="51" x14ac:dyDescent="0.2">
      <c r="B6" s="20" t="s">
        <v>70</v>
      </c>
      <c r="C6" s="21">
        <v>0.15</v>
      </c>
      <c r="D6" s="28" t="s">
        <v>46</v>
      </c>
    </row>
    <row r="7" spans="2:4" ht="63.75" x14ac:dyDescent="0.2">
      <c r="B7" s="20" t="s">
        <v>39</v>
      </c>
      <c r="C7" s="21">
        <v>0.15</v>
      </c>
      <c r="D7" s="28" t="s">
        <v>62</v>
      </c>
    </row>
    <row r="8" spans="2:4" ht="14.25" x14ac:dyDescent="0.2">
      <c r="B8" s="20" t="s">
        <v>71</v>
      </c>
      <c r="C8" s="22">
        <v>1</v>
      </c>
      <c r="D8" s="29" t="s">
        <v>47</v>
      </c>
    </row>
    <row r="9" spans="2:4" ht="63.75" x14ac:dyDescent="0.2">
      <c r="B9" s="20" t="s">
        <v>67</v>
      </c>
      <c r="C9" s="22">
        <v>0.3</v>
      </c>
      <c r="D9" s="28" t="s">
        <v>72</v>
      </c>
    </row>
    <row r="10" spans="2:4" ht="63.75" x14ac:dyDescent="0.2">
      <c r="B10" s="20" t="s">
        <v>38</v>
      </c>
      <c r="C10" s="21">
        <v>0.15</v>
      </c>
      <c r="D10" s="28" t="s">
        <v>61</v>
      </c>
    </row>
    <row r="11" spans="2:4" ht="76.5" x14ac:dyDescent="0.2">
      <c r="B11" s="20" t="s">
        <v>37</v>
      </c>
      <c r="C11" s="21">
        <v>0.15</v>
      </c>
      <c r="D11" s="28" t="s">
        <v>60</v>
      </c>
    </row>
    <row r="12" spans="2:4" ht="38.25" x14ac:dyDescent="0.2">
      <c r="B12" s="20" t="s">
        <v>36</v>
      </c>
      <c r="C12" s="21">
        <v>0.15</v>
      </c>
      <c r="D12" s="28" t="s">
        <v>63</v>
      </c>
    </row>
    <row r="13" spans="2:4" ht="25.5" x14ac:dyDescent="0.2">
      <c r="B13" s="20" t="s">
        <v>35</v>
      </c>
      <c r="C13" s="22">
        <v>0.15</v>
      </c>
      <c r="D13" s="28" t="s">
        <v>59</v>
      </c>
    </row>
    <row r="14" spans="2:4" ht="25.5" x14ac:dyDescent="0.2">
      <c r="B14" s="20" t="s">
        <v>34</v>
      </c>
      <c r="C14" s="22">
        <v>0.15</v>
      </c>
      <c r="D14" s="28" t="s">
        <v>58</v>
      </c>
    </row>
    <row r="15" spans="2:4" ht="25.5" x14ac:dyDescent="0.2">
      <c r="B15" s="20" t="s">
        <v>33</v>
      </c>
      <c r="C15" s="22">
        <v>0.15</v>
      </c>
      <c r="D15" s="28" t="s">
        <v>57</v>
      </c>
    </row>
    <row r="16" spans="2:4" ht="25.5" x14ac:dyDescent="0.2">
      <c r="B16" s="20" t="s">
        <v>32</v>
      </c>
      <c r="C16" s="22">
        <v>0.15</v>
      </c>
      <c r="D16" s="28" t="s">
        <v>56</v>
      </c>
    </row>
    <row r="17" spans="2:4" ht="25.5" x14ac:dyDescent="0.2">
      <c r="B17" s="20" t="s">
        <v>31</v>
      </c>
      <c r="C17" s="22">
        <v>0.15</v>
      </c>
      <c r="D17" s="28" t="s">
        <v>55</v>
      </c>
    </row>
    <row r="18" spans="2:4" ht="25.5" x14ac:dyDescent="0.2">
      <c r="B18" s="20" t="s">
        <v>30</v>
      </c>
      <c r="C18" s="22">
        <v>0.15</v>
      </c>
      <c r="D18" s="28" t="s">
        <v>49</v>
      </c>
    </row>
    <row r="19" spans="2:4" ht="25.5" x14ac:dyDescent="0.2">
      <c r="B19" s="20" t="s">
        <v>29</v>
      </c>
      <c r="C19" s="22">
        <v>0.15</v>
      </c>
      <c r="D19" s="28" t="s">
        <v>50</v>
      </c>
    </row>
    <row r="20" spans="2:4" ht="38.25" x14ac:dyDescent="0.2">
      <c r="B20" s="20" t="s">
        <v>28</v>
      </c>
      <c r="C20" s="22">
        <v>0.15</v>
      </c>
      <c r="D20" s="28" t="s">
        <v>51</v>
      </c>
    </row>
    <row r="21" spans="2:4" ht="25.5" x14ac:dyDescent="0.2">
      <c r="B21" s="20" t="s">
        <v>73</v>
      </c>
      <c r="C21" s="22">
        <v>0.15</v>
      </c>
      <c r="D21" s="28" t="s">
        <v>52</v>
      </c>
    </row>
    <row r="22" spans="2:4" ht="25.5" x14ac:dyDescent="0.2">
      <c r="B22" s="20" t="s">
        <v>27</v>
      </c>
      <c r="C22" s="22">
        <v>0.15</v>
      </c>
      <c r="D22" s="28" t="s">
        <v>48</v>
      </c>
    </row>
    <row r="23" spans="2:4" ht="14.25" x14ac:dyDescent="0.2">
      <c r="B23" s="20" t="s">
        <v>26</v>
      </c>
      <c r="C23" s="22">
        <v>0.15</v>
      </c>
      <c r="D23" s="28" t="s">
        <v>53</v>
      </c>
    </row>
    <row r="24" spans="2:4" ht="25.5" x14ac:dyDescent="0.2">
      <c r="B24" s="20" t="s">
        <v>25</v>
      </c>
      <c r="C24" s="22">
        <v>0.15</v>
      </c>
      <c r="D24" s="28" t="s">
        <v>54</v>
      </c>
    </row>
    <row r="25" spans="2:4" ht="25.5" x14ac:dyDescent="0.2">
      <c r="B25" s="20" t="s">
        <v>24</v>
      </c>
      <c r="C25" s="22">
        <v>1</v>
      </c>
      <c r="D25" s="28" t="s">
        <v>65</v>
      </c>
    </row>
    <row r="26" spans="2:4" thickBot="1" x14ac:dyDescent="0.25">
      <c r="B26" s="23" t="s">
        <v>23</v>
      </c>
      <c r="C26" s="24">
        <v>1</v>
      </c>
      <c r="D26" s="30" t="s">
        <v>66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Cost category</vt:lpstr>
      <vt:lpstr>Project budget by outcome</vt:lpstr>
      <vt:lpstr>Description of roles</vt:lpstr>
      <vt:lpstr>'Project budget by outcome'!Print_Area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Zelenovic</dc:creator>
  <cp:lastModifiedBy>Claire</cp:lastModifiedBy>
  <cp:lastPrinted>2019-05-09T13:31:52Z</cp:lastPrinted>
  <dcterms:created xsi:type="dcterms:W3CDTF">2017-11-15T21:17:43Z</dcterms:created>
  <dcterms:modified xsi:type="dcterms:W3CDTF">2019-11-15T16:22:34Z</dcterms:modified>
</cp:coreProperties>
</file>