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0490" windowHeight="7905"/>
  </bookViews>
  <sheets>
    <sheet name="1) Budget Tables" sheetId="1" r:id="rId1"/>
    <sheet name="2) By Category" sheetId="5" r:id="rId2"/>
    <sheet name="3) Explanatory Notes" sheetId="3" r:id="rId3"/>
    <sheet name="4) For PBSO Use" sheetId="6" r:id="rId4"/>
    <sheet name="5) For MPTF Use" sheetId="4" r:id="rId5"/>
    <sheet name="Sheet2" sheetId="7" state="hidden" r:id="rId6"/>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5" i="1"/>
  <c r="I42"/>
  <c r="I39"/>
  <c r="I34"/>
  <c r="I30"/>
  <c r="I27"/>
  <c r="I22"/>
  <c r="I19"/>
  <c r="I16"/>
  <c r="D137" i="5" l="1"/>
  <c r="D141"/>
  <c r="D140"/>
  <c r="D64" i="1"/>
  <c r="D59" i="5"/>
  <c r="D57"/>
  <c r="D94"/>
  <c r="D92"/>
  <c r="D56"/>
  <c r="D53"/>
  <c r="D40"/>
  <c r="D43"/>
  <c r="D81"/>
  <c r="D54"/>
  <c r="D68"/>
  <c r="D136"/>
  <c r="D32"/>
  <c r="D31"/>
  <c r="D64"/>
  <c r="D18"/>
  <c r="D22"/>
  <c r="H28" i="1" l="1"/>
  <c r="D138" i="5" l="1"/>
  <c r="D139"/>
  <c r="D135"/>
  <c r="D80" i="1"/>
  <c r="D134" i="5"/>
  <c r="D29" l="1"/>
  <c r="D21"/>
  <c r="F24" i="4" l="1"/>
  <c r="F23"/>
  <c r="F22"/>
  <c r="G49" i="1" l="1"/>
  <c r="G50" l="1"/>
  <c r="G51"/>
  <c r="G52"/>
  <c r="H53" l="1"/>
  <c r="I53" l="1"/>
  <c r="I46"/>
  <c r="I77" s="1"/>
  <c r="I43"/>
  <c r="I40"/>
  <c r="I35"/>
  <c r="I32"/>
  <c r="I28"/>
  <c r="I23"/>
  <c r="I20"/>
  <c r="I17"/>
  <c r="G45" l="1"/>
  <c r="H46" s="1"/>
  <c r="G42"/>
  <c r="H43" s="1"/>
  <c r="G39"/>
  <c r="H40" s="1"/>
  <c r="G34"/>
  <c r="H35" s="1"/>
  <c r="G31"/>
  <c r="G30"/>
  <c r="H32" s="1"/>
  <c r="G27"/>
  <c r="G22"/>
  <c r="H23" s="1"/>
  <c r="G19"/>
  <c r="H20" s="1"/>
  <c r="G16"/>
  <c r="H17" s="1"/>
  <c r="I78" l="1"/>
  <c r="D77"/>
  <c r="C10" i="4"/>
  <c r="C13"/>
  <c r="C21"/>
  <c r="C7" l="1"/>
  <c r="D133" i="5"/>
  <c r="D14" l="1"/>
  <c r="E71" i="1"/>
  <c r="F71"/>
  <c r="D71"/>
  <c r="E63"/>
  <c r="F63"/>
  <c r="D63"/>
  <c r="F129" i="5"/>
  <c r="E129"/>
  <c r="D129"/>
  <c r="G128"/>
  <c r="G127"/>
  <c r="G126"/>
  <c r="G125"/>
  <c r="G124"/>
  <c r="G123"/>
  <c r="G122"/>
  <c r="E53" i="1"/>
  <c r="E121" i="5" s="1"/>
  <c r="F53" i="1"/>
  <c r="F121" i="5" s="1"/>
  <c r="D53" i="1"/>
  <c r="D121" i="5" s="1"/>
  <c r="G129" l="1"/>
  <c r="G20" i="1"/>
  <c r="G28"/>
  <c r="G46"/>
  <c r="G35"/>
  <c r="G32"/>
  <c r="G40"/>
  <c r="G43"/>
  <c r="G53"/>
  <c r="G23"/>
  <c r="G17"/>
  <c r="G121" i="5"/>
  <c r="E140"/>
  <c r="D14" i="4" s="1"/>
  <c r="F140" i="5"/>
  <c r="E14" i="4" s="1"/>
  <c r="E139" i="5"/>
  <c r="F139"/>
  <c r="E13" i="4" s="1"/>
  <c r="E138" i="5"/>
  <c r="D12" i="4" s="1"/>
  <c r="F138" i="5"/>
  <c r="E12" i="4" s="1"/>
  <c r="E137" i="5"/>
  <c r="D11" i="4" s="1"/>
  <c r="F137" i="5"/>
  <c r="E11" i="4" s="1"/>
  <c r="E136" i="5"/>
  <c r="D10" i="4" s="1"/>
  <c r="F136" i="5"/>
  <c r="E10" i="4" s="1"/>
  <c r="E135" i="5"/>
  <c r="D9" i="4" s="1"/>
  <c r="F135" i="5"/>
  <c r="E9" i="4" s="1"/>
  <c r="C14"/>
  <c r="C11"/>
  <c r="C12"/>
  <c r="E134" i="5"/>
  <c r="D8" i="4" s="1"/>
  <c r="F134" i="5"/>
  <c r="E8" i="4" s="1"/>
  <c r="C8"/>
  <c r="F14" i="5"/>
  <c r="E14"/>
  <c r="G99"/>
  <c r="G100"/>
  <c r="G101"/>
  <c r="G102"/>
  <c r="G103"/>
  <c r="G104"/>
  <c r="G105"/>
  <c r="D106"/>
  <c r="E106"/>
  <c r="F106"/>
  <c r="G110"/>
  <c r="G111"/>
  <c r="G112"/>
  <c r="G113"/>
  <c r="G114"/>
  <c r="G115"/>
  <c r="G116"/>
  <c r="D117"/>
  <c r="E117"/>
  <c r="F117"/>
  <c r="F95"/>
  <c r="E95"/>
  <c r="D95"/>
  <c r="G94"/>
  <c r="G93"/>
  <c r="G92"/>
  <c r="G91"/>
  <c r="G90"/>
  <c r="G89"/>
  <c r="G88"/>
  <c r="G64"/>
  <c r="G65"/>
  <c r="G66"/>
  <c r="G67"/>
  <c r="G68"/>
  <c r="G69"/>
  <c r="G70"/>
  <c r="D71"/>
  <c r="E71"/>
  <c r="F71"/>
  <c r="G75"/>
  <c r="G76"/>
  <c r="G77"/>
  <c r="G78"/>
  <c r="G79"/>
  <c r="G80"/>
  <c r="G81"/>
  <c r="D82"/>
  <c r="E82"/>
  <c r="F82"/>
  <c r="G53"/>
  <c r="G54"/>
  <c r="G55"/>
  <c r="G56"/>
  <c r="G57"/>
  <c r="G58"/>
  <c r="G59"/>
  <c r="D60"/>
  <c r="E60"/>
  <c r="F60"/>
  <c r="G29"/>
  <c r="G30"/>
  <c r="G31"/>
  <c r="G32"/>
  <c r="G33"/>
  <c r="G34"/>
  <c r="G35"/>
  <c r="D36"/>
  <c r="E36"/>
  <c r="F36"/>
  <c r="G40"/>
  <c r="G41"/>
  <c r="G42"/>
  <c r="G43"/>
  <c r="G44"/>
  <c r="G45"/>
  <c r="G46"/>
  <c r="D47"/>
  <c r="E47"/>
  <c r="F47"/>
  <c r="E25"/>
  <c r="F25"/>
  <c r="G18"/>
  <c r="G19"/>
  <c r="G20"/>
  <c r="G21"/>
  <c r="G22"/>
  <c r="G23"/>
  <c r="G24"/>
  <c r="D25"/>
  <c r="G117" l="1"/>
  <c r="C9" i="4"/>
  <c r="C15" s="1"/>
  <c r="G139" i="5"/>
  <c r="G134"/>
  <c r="D13" i="4"/>
  <c r="G137" i="5"/>
  <c r="G135"/>
  <c r="E15" i="4"/>
  <c r="G140" i="5"/>
  <c r="G138"/>
  <c r="G136"/>
  <c r="F141"/>
  <c r="E141"/>
  <c r="G106"/>
  <c r="G71"/>
  <c r="G95"/>
  <c r="G82"/>
  <c r="G60"/>
  <c r="G47"/>
  <c r="G36"/>
  <c r="G25"/>
  <c r="E46" i="1"/>
  <c r="E109" i="5" s="1"/>
  <c r="F46" i="1"/>
  <c r="F109" i="5" s="1"/>
  <c r="E43" i="1"/>
  <c r="E98" i="5" s="1"/>
  <c r="F43" i="1"/>
  <c r="F98" i="5" s="1"/>
  <c r="E40" i="1"/>
  <c r="F40"/>
  <c r="F87" i="5" s="1"/>
  <c r="E35" i="1"/>
  <c r="E74" i="5" s="1"/>
  <c r="F35" i="1"/>
  <c r="F74" i="5" s="1"/>
  <c r="E32" i="1"/>
  <c r="E63" i="5" s="1"/>
  <c r="F32" i="1"/>
  <c r="F63" i="5" s="1"/>
  <c r="E28" i="1"/>
  <c r="E52" i="5" s="1"/>
  <c r="F28" i="1"/>
  <c r="F52" i="5" s="1"/>
  <c r="E23" i="1"/>
  <c r="F23"/>
  <c r="F39" i="5" s="1"/>
  <c r="E20" i="1"/>
  <c r="E28" i="5" s="1"/>
  <c r="F20" i="1"/>
  <c r="F28" i="5" s="1"/>
  <c r="D20" i="1"/>
  <c r="D28" i="5" s="1"/>
  <c r="I36" s="1"/>
  <c r="F17" i="1"/>
  <c r="F17" i="5" s="1"/>
  <c r="E17" i="1"/>
  <c r="E17" i="5" s="1"/>
  <c r="C16" i="4" l="1"/>
  <c r="C17" s="1"/>
  <c r="D142" i="5"/>
  <c r="D143" s="1"/>
  <c r="D15" i="4"/>
  <c r="E87" i="5"/>
  <c r="G141"/>
  <c r="G28"/>
  <c r="F64" i="1"/>
  <c r="E64"/>
  <c r="E39" i="5"/>
  <c r="F65" i="1" l="1"/>
  <c r="F72" s="1"/>
  <c r="E65"/>
  <c r="E72" s="1"/>
  <c r="D46"/>
  <c r="D109" i="5" s="1"/>
  <c r="G109" s="1"/>
  <c r="D43" i="1"/>
  <c r="D98" i="5" s="1"/>
  <c r="G98" s="1"/>
  <c r="D40" i="1"/>
  <c r="D35"/>
  <c r="D74" i="5" s="1"/>
  <c r="D32" i="1"/>
  <c r="D28"/>
  <c r="D23"/>
  <c r="D17"/>
  <c r="G74" i="5" l="1"/>
  <c r="H82"/>
  <c r="D17"/>
  <c r="G17" s="1"/>
  <c r="D63"/>
  <c r="F66" i="1"/>
  <c r="F73"/>
  <c r="E23" i="4" s="1"/>
  <c r="E22"/>
  <c r="E66" i="1"/>
  <c r="D22" i="4"/>
  <c r="E73" i="1"/>
  <c r="D23" i="4" s="1"/>
  <c r="D87" i="5"/>
  <c r="G87" s="1"/>
  <c r="C29" i="6"/>
  <c r="C40"/>
  <c r="D52" i="5"/>
  <c r="C18" i="6"/>
  <c r="D39" i="5"/>
  <c r="C7" i="6"/>
  <c r="D10" s="1"/>
  <c r="G39" i="5" l="1"/>
  <c r="I47"/>
  <c r="G52"/>
  <c r="I57"/>
  <c r="G63"/>
  <c r="I71"/>
  <c r="G64" i="1"/>
  <c r="G65" s="1"/>
  <c r="G66" s="1"/>
  <c r="F75"/>
  <c r="E75"/>
  <c r="D45" i="6"/>
  <c r="D47"/>
  <c r="D46"/>
  <c r="D43"/>
  <c r="D44"/>
  <c r="D34"/>
  <c r="D36"/>
  <c r="D32"/>
  <c r="D33"/>
  <c r="D35"/>
  <c r="D24"/>
  <c r="D25"/>
  <c r="D21"/>
  <c r="D22"/>
  <c r="D23"/>
  <c r="D12"/>
  <c r="D11"/>
  <c r="D14"/>
  <c r="D13"/>
  <c r="D65" i="1"/>
  <c r="D66" l="1"/>
  <c r="C30" i="6"/>
  <c r="C41"/>
  <c r="C19"/>
  <c r="C8"/>
  <c r="D81" i="1" l="1"/>
  <c r="D72"/>
  <c r="C22" i="4" s="1"/>
  <c r="D78" i="1"/>
  <c r="D74"/>
  <c r="C24" i="4" s="1"/>
  <c r="D73" i="1"/>
  <c r="C23" i="4" s="1"/>
  <c r="D75" i="1" l="1"/>
  <c r="C25" i="4" s="1"/>
</calcChain>
</file>

<file path=xl/sharedStrings.xml><?xml version="1.0" encoding="utf-8"?>
<sst xmlns="http://schemas.openxmlformats.org/spreadsheetml/2006/main" count="630" uniqueCount="469">
  <si>
    <t xml:space="preserve">OUTCOME 1: </t>
  </si>
  <si>
    <t>Output 1.1:</t>
  </si>
  <si>
    <t>Activity 1.1.1:</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</si>
  <si>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</si>
  <si>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</si>
  <si>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</si>
  <si>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</si>
  <si>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</si>
  <si>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</si>
  <si>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</si>
  <si>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</si>
  <si>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</si>
  <si>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</si>
  <si>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</si>
  <si>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</si>
  <si>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</si>
  <si>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</si>
  <si>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</si>
  <si>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</si>
  <si>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</si>
  <si>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</si>
  <si>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</si>
  <si>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</si>
  <si>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</si>
  <si>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</si>
  <si>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</si>
  <si>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</si>
  <si>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</si>
  <si>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</si>
  <si>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</si>
  <si>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</si>
  <si>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1.2.1</t>
  </si>
  <si>
    <t>Activity 1.3.1</t>
  </si>
  <si>
    <t>Sub-Total Project Budget</t>
  </si>
  <si>
    <t>Total</t>
  </si>
  <si>
    <t>For MPTFO Use</t>
  </si>
  <si>
    <t>Activity 2.1.3</t>
  </si>
  <si>
    <t>Output 2.2</t>
  </si>
  <si>
    <t>Activity 2.2.1</t>
  </si>
  <si>
    <t>Activity 2.2.8</t>
  </si>
  <si>
    <t>Output 2.3</t>
  </si>
  <si>
    <t>Activity 2.3.1</t>
  </si>
  <si>
    <t xml:space="preserve">OUTCOME 3: </t>
  </si>
  <si>
    <t>Output 3.1</t>
  </si>
  <si>
    <t>Activity 3.1.1</t>
  </si>
  <si>
    <t>Activity 3.2.1</t>
  </si>
  <si>
    <t>Output 3.3</t>
  </si>
  <si>
    <t>Activity 3.3.1</t>
  </si>
  <si>
    <t>Output Total</t>
  </si>
  <si>
    <t>Table 1 - PBF project budget by outcome, output and activity</t>
  </si>
  <si>
    <t>Recipient Organization 2 Budget</t>
  </si>
  <si>
    <t>Recipient Organization 3 Budget</t>
  </si>
  <si>
    <t>Table 2 - Output breakdown by UN budget categories</t>
  </si>
  <si>
    <t>Recipient Agency 2</t>
  </si>
  <si>
    <t>Recipient Agency 3</t>
  </si>
  <si>
    <t>Recip Agency 2</t>
  </si>
  <si>
    <t>Recip Agency 3</t>
  </si>
  <si>
    <t>7. General Operating and other Costs</t>
  </si>
  <si>
    <t>Output Total from Table 1</t>
  </si>
  <si>
    <t>Output 1.1</t>
  </si>
  <si>
    <t xml:space="preserve">Total </t>
  </si>
  <si>
    <t>Outcome 1</t>
  </si>
  <si>
    <t>OUTCOME 1</t>
  </si>
  <si>
    <t>Output 1.2</t>
  </si>
  <si>
    <t>Output 1.3</t>
  </si>
  <si>
    <t>OUTCOME 2</t>
  </si>
  <si>
    <t>Output 2.1</t>
  </si>
  <si>
    <t>OUTCOME 3</t>
  </si>
  <si>
    <t>Output 3.2</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</si>
  <si>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</si>
  <si>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</si>
  <si>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</si>
  <si>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</si>
  <si>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</si>
  <si>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</si>
  <si>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</si>
  <si>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</si>
  <si>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</si>
  <si>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</si>
  <si>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</si>
  <si>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</si>
  <si>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</si>
  <si>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</si>
  <si>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</si>
  <si>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</si>
  <si>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</si>
  <si>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</si>
  <si>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</si>
  <si>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</si>
  <si>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</si>
  <si>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</si>
  <si>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</si>
  <si>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</si>
  <si>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</si>
  <si>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</si>
  <si>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</si>
  <si>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</si>
  <si>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</si>
  <si>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</si>
  <si>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</si>
  <si>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</si>
  <si>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</si>
  <si>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</si>
  <si>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</si>
  <si>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</si>
  <si>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</si>
  <si>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</si>
  <si>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</si>
  <si>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</si>
  <si>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</si>
  <si>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</si>
  <si>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</si>
  <si>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</si>
  <si>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</si>
  <si>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</si>
  <si>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</si>
  <si>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</si>
  <si>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</si>
  <si>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</si>
  <si>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</si>
  <si>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</si>
  <si>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</si>
  <si>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</si>
  <si>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</si>
  <si>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</si>
  <si>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</si>
  <si>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</si>
  <si>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</si>
  <si>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</si>
  <si>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</si>
  <si>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</si>
  <si>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</si>
  <si>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</si>
  <si>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</si>
  <si>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</si>
  <si>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</si>
  <si>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</si>
  <si>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</si>
  <si>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</si>
  <si>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</si>
  <si>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</si>
  <si>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</si>
  <si>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</si>
  <si>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</si>
  <si>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</si>
  <si>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</si>
  <si>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</si>
  <si>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</si>
  <si>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</si>
  <si>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</si>
  <si>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</si>
  <si>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</si>
  <si>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</si>
  <si>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</si>
  <si>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</si>
  <si>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</si>
  <si>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</si>
  <si>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</si>
  <si>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</si>
  <si>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</si>
  <si>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</si>
  <si>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</si>
  <si>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</si>
  <si>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</si>
  <si>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</si>
  <si>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</si>
  <si>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</si>
  <si>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</si>
  <si>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</si>
  <si>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</si>
  <si>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</si>
  <si>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</si>
  <si>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</si>
  <si>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</si>
  <si>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</si>
  <si>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</si>
  <si>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</si>
  <si>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</si>
  <si>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</si>
  <si>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</si>
  <si>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</si>
  <si>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</si>
  <si>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</si>
  <si>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</si>
  <si>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</si>
  <si>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</si>
  <si>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</si>
  <si>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</si>
  <si>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</si>
  <si>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</si>
  <si>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</si>
  <si>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</si>
  <si>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</si>
  <si>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</si>
  <si>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</si>
  <si>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</si>
  <si>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</si>
  <si>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</si>
  <si>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</si>
  <si>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</si>
  <si>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</si>
  <si>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</si>
  <si>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</si>
  <si>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</si>
  <si>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</si>
  <si>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</si>
  <si>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</si>
  <si>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</si>
  <si>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</si>
  <si>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</si>
  <si>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</si>
  <si>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</si>
  <si>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</si>
  <si>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</si>
  <si>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</si>
  <si>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</si>
  <si>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</si>
  <si>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</si>
  <si>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</si>
  <si>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</si>
  <si>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</si>
  <si>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</si>
  <si>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</si>
  <si>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</si>
  <si>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</si>
  <si>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</si>
  <si>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</si>
  <si>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</si>
  <si>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</si>
  <si>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</si>
  <si>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</si>
  <si>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</si>
  <si>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</si>
  <si>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</si>
  <si>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</si>
  <si>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</si>
  <si>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</si>
  <si>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</si>
  <si>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</si>
  <si>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</si>
  <si>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</si>
  <si>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</si>
  <si>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</si>
  <si>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</si>
  <si>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</si>
  <si>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</si>
  <si>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</si>
  <si>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</si>
  <si>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</si>
  <si>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</si>
  <si>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</si>
  <si>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</si>
  <si>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</si>
  <si>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</si>
  <si>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</si>
  <si>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</si>
  <si>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</si>
  <si>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</si>
  <si>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</si>
  <si>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</si>
  <si>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</si>
  <si>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</si>
  <si>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</si>
  <si>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</si>
  <si>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</si>
  <si>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</si>
  <si>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</si>
  <si>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</si>
  <si>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</si>
  <si>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</si>
  <si>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</si>
  <si>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</si>
  <si>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</si>
  <si>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</si>
  <si>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</si>
  <si>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</si>
  <si>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</si>
  <si>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</si>
  <si>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</si>
  <si>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</si>
  <si>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</si>
  <si>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</si>
  <si>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</si>
  <si>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</si>
  <si>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</si>
  <si>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</si>
  <si>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</si>
  <si>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</si>
  <si>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</si>
  <si>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</si>
  <si>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</si>
  <si>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</si>
  <si>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</si>
  <si>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</si>
  <si>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</si>
  <si>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</si>
  <si>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</si>
  <si>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</si>
  <si>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</si>
  <si>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</si>
  <si>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</si>
  <si>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</si>
  <si>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</si>
  <si>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</si>
  <si>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</si>
  <si>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</si>
  <si>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</si>
  <si>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</si>
  <si>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</si>
  <si>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</si>
  <si>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</si>
  <si>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</si>
  <si>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</si>
  <si>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</si>
  <si>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</si>
  <si>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</si>
  <si>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</si>
  <si>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</si>
  <si>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</si>
  <si>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</si>
  <si>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</si>
  <si>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</si>
  <si>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</si>
  <si>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</si>
  <si>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</si>
  <si>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</si>
  <si>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</si>
  <si>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</si>
  <si>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</si>
  <si>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</si>
  <si>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</si>
  <si>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</si>
  <si>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</si>
  <si>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</si>
  <si>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</si>
  <si>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</si>
  <si>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</si>
  <si>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</si>
  <si>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</si>
  <si>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</si>
  <si>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</si>
  <si>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</si>
  <si>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</si>
  <si>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</si>
  <si>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</si>
  <si>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</si>
  <si>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</si>
  <si>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</si>
  <si>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</si>
  <si>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</si>
  <si>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</si>
  <si>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</si>
  <si>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</si>
  <si>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</si>
  <si>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</si>
  <si>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</si>
  <si>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</si>
  <si>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</si>
  <si>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</si>
  <si>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</si>
  <si>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</si>
  <si>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</si>
  <si>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</si>
  <si>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</si>
  <si>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</si>
  <si>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</si>
  <si>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</si>
  <si>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</si>
  <si>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</si>
  <si>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</si>
  <si>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</si>
  <si>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</si>
  <si>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</si>
  <si>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</si>
  <si>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</si>
  <si>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</si>
  <si>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</si>
  <si>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</si>
  <si>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</si>
  <si>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</si>
  <si>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</si>
  <si>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</si>
  <si>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</si>
  <si>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</si>
  <si>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</si>
  <si>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</si>
  <si>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</si>
  <si>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</si>
  <si>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</si>
  <si>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</si>
  <si>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</si>
  <si>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</si>
  <si>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</si>
  <si>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</si>
  <si>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</si>
  <si>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</si>
  <si>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</si>
  <si>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</si>
  <si>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</si>
  <si>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</si>
  <si>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</si>
  <si>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</si>
  <si>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</si>
  <si>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</si>
  <si>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</si>
  <si>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</si>
  <si>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</si>
  <si>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</si>
  <si>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</si>
  <si>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</si>
  <si>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</si>
  <si>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</si>
  <si>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</si>
  <si>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</si>
  <si>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</si>
  <si>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</si>
  <si>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</si>
  <si>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</si>
  <si>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</si>
  <si>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2</t>
  </si>
  <si>
    <t>Recipient Organization 3</t>
  </si>
  <si>
    <t>Additional Operational Costs</t>
  </si>
  <si>
    <t>Total Additional Costs</t>
  </si>
  <si>
    <t>Additional personnel costs</t>
  </si>
  <si>
    <t>Monitoring budget</t>
  </si>
  <si>
    <t>Additional Costs</t>
  </si>
  <si>
    <t>Additional Cost Totals from Table 1</t>
  </si>
  <si>
    <t>Total:</t>
  </si>
  <si>
    <t>Budget for independent final evaluation</t>
  </si>
  <si>
    <t>Recipient Organization</t>
  </si>
  <si>
    <t>Third Tranche</t>
  </si>
  <si>
    <t>Recipient Agency</t>
  </si>
  <si>
    <t>Third Tranche:</t>
  </si>
  <si>
    <t>Subtotal</t>
  </si>
  <si>
    <t>7% Indirect Costs</t>
  </si>
  <si>
    <t>TOTAL</t>
  </si>
  <si>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</si>
  <si>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 xml:space="preserve">Annex D - PBF Project Budget </t>
  </si>
  <si>
    <t>CSO Version</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</si>
  <si>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</si>
  <si>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</si>
  <si>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xml:space="preserve">Recipient Organization </t>
    </r>
    <r>
      <rPr>
        <sz val="12"/>
        <color theme="1"/>
        <rFont val="Calibri"/>
        <family val="2"/>
        <scheme val="minor"/>
      </rPr>
      <t>Budget</t>
    </r>
  </si>
  <si>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</si>
  <si>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</si>
  <si>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For PBSO Use</t>
  </si>
  <si>
    <t xml:space="preserve">Sub-total </t>
  </si>
  <si>
    <r>
      <t xml:space="preserve">$ Towards M&amp;E </t>
    </r>
    <r>
      <rPr>
        <sz val="11"/>
        <color theme="1"/>
        <rFont val="Calibri"/>
        <family val="2"/>
        <scheme val="minor"/>
      </rPr>
      <t>(includes indirect costs)</t>
    </r>
  </si>
  <si>
    <r>
      <t xml:space="preserve">$ Towards GEWE </t>
    </r>
    <r>
      <rPr>
        <sz val="11"/>
        <color theme="1"/>
        <rFont val="Calibri"/>
        <family val="2"/>
        <scheme val="minor"/>
      </rPr>
      <t>(includes indirect costs)</t>
    </r>
  </si>
  <si>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</si>
  <si>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t>Total Expenditure</t>
  </si>
  <si>
    <t>Delivery Rate:</t>
  </si>
  <si>
    <t>Establish a human rights clinic at the University of Jaffna Law Faculty, linked to Harvard International Human Rights Clinic</t>
  </si>
  <si>
    <t xml:space="preserve">Foster curriculum change in the law degree at the University of Jaffna to include transitional justice, women and transitional justice, reconciliation and lawyering for social change. </t>
  </si>
  <si>
    <t>The targeted student population is mobilized as a driving force of transitional justice and reconciliation</t>
  </si>
  <si>
    <t>Design and deliver training on transitional justice, including women and transitional justice, and reconciliation to universities in Sri Lanka</t>
  </si>
  <si>
    <t>Engage with student bodies at universities in Sri Lanka to foster self-led reconciliation initiatives.</t>
  </si>
  <si>
    <t xml:space="preserve">Hold Transitional Justice Champions meeting networking youth internal mediators (youth leaders, human rights clinic students, leaders of student body initiatives) with transitional justice policy-makers. </t>
  </si>
  <si>
    <t xml:space="preserve">Youth’s acceptance of and influence over transitional justice will be fostered thereby increasing youth support for the GoSL’s pursuit of their transitional justice targets. </t>
  </si>
  <si>
    <t xml:space="preserve">Develop and deliver training to men and women youth leaders at 21 DIRCs on transitional justice / gender.  </t>
  </si>
  <si>
    <t xml:space="preserve">Support DIRC youth leaders to deliver information sessions to youth CSOs. This activity falls within the overall ambit of enhancing awareness among youth of the need and aspects of a transitional justice and reconciliation process.  </t>
  </si>
  <si>
    <t>Oversee a survey of youth membership of CSOs in 21 districts and student bodies on their concerns and questions on transitional justice, analyze the survey responses and draft a transitional justice FAQs documents.</t>
  </si>
  <si>
    <t>Law Students from the three Law Faculties in Sri Lanka, including a focus on law students located in a conflict ‘hotspot’ effectively access the legal system upon qualification and any future transitional justice mechanisms that the GoSL may  operationalize, as a means for resolving past injustices thereby contributing to the sustainability of reconciliation.</t>
  </si>
  <si>
    <t>Develop and deliver short interactive law courses on transitional justice to law students at the Law Faculties of Jaffna, Colombo and Peradeniya Universities and other institutions teaching law.</t>
  </si>
  <si>
    <t>Deliver 15 students*3groups*2 one-day trainings to 540 students (1080 units) in 12 universities.</t>
  </si>
  <si>
    <t xml:space="preserve">Personnel, Supplies, Contractual Services, Travel, Direct Costs and 
Includes study tour to Harvard, U.S.
</t>
  </si>
  <si>
    <t>Personnel, Supplies, Contractual Services, Travel, Direct Costs</t>
  </si>
  <si>
    <t>Personnel, Supplies, Contractual Services, Travel, Direct Costs and equipment suplies</t>
  </si>
  <si>
    <t>Note*  We didn, request additional funds for evalaution and M&amp; E however everything was included uneder each outcome as an estimtes . Therfore the amount mentioned in the additionl expenses already included under each outcome also evalation process is at procurement stage we can include the final figure brfoe the december 19.</t>
  </si>
  <si>
    <t>Note* Figures taken under budget as per the request submited note to file on Oct 2019.</t>
  </si>
</sst>
</file>

<file path=xl/styles.xml><?xml version="1.0" encoding="utf-8"?>
<styleSheet xmlns="http://schemas.openxmlformats.org/spreadsheetml/2006/main">
  <numFmts count="2">
    <numFmt numFmtId="43" formatCode="_(* #,##0.00_);_(* \(#,##0.00\);_(* &quot;-&quot;??_);_(@_)"/>
    <numFmt numFmtId="164" formatCode="_(&quot;$&quot;* #,##0.00_);_(&quot;$&quot;* \(#,##0.00\);_(&quot;$&quot;* &quot;-&quot;??_);_(@_)"/>
  </numFmts>
  <fonts count="23">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12"/>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37">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3" fillId="0" borderId="6" xfId="0" applyFont="1" applyBorder="1"/>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40" xfId="0" applyFont="1" applyFill="1" applyBorder="1" applyAlignment="1">
      <alignment horizontal="center" wrapText="1"/>
    </xf>
    <xf numFmtId="164" fontId="2" fillId="2" borderId="3" xfId="0" applyNumberFormat="1" applyFont="1" applyFill="1" applyBorder="1" applyAlignment="1">
      <alignment wrapText="1"/>
    </xf>
    <xf numFmtId="0" fontId="7" fillId="2" borderId="40" xfId="0" applyFont="1" applyFill="1" applyBorder="1" applyAlignment="1" applyProtection="1">
      <alignment vertical="center" wrapText="1"/>
    </xf>
    <xf numFmtId="164" fontId="2" fillId="2" borderId="40" xfId="0" applyNumberFormat="1" applyFont="1" applyFill="1" applyBorder="1" applyAlignment="1">
      <alignment wrapText="1"/>
    </xf>
    <xf numFmtId="0" fontId="2" fillId="2" borderId="14" xfId="0" applyFont="1" applyFill="1" applyBorder="1" applyAlignment="1">
      <alignment horizontal="left" wrapText="1"/>
    </xf>
    <xf numFmtId="164" fontId="2" fillId="2" borderId="14" xfId="0" applyNumberFormat="1" applyFont="1" applyFill="1" applyBorder="1" applyAlignment="1">
      <alignment horizontal="center" wrapText="1"/>
    </xf>
    <xf numFmtId="164" fontId="2" fillId="2" borderId="14" xfId="0" applyNumberFormat="1" applyFont="1" applyFill="1" applyBorder="1" applyAlignment="1">
      <alignment wrapText="1"/>
    </xf>
    <xf numFmtId="164" fontId="2" fillId="4" borderId="3" xfId="1" applyNumberFormat="1" applyFont="1" applyFill="1" applyBorder="1" applyAlignment="1">
      <alignmen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4" fontId="2" fillId="2" borderId="39"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5" xfId="0" applyNumberFormat="1" applyFont="1" applyFill="1" applyBorder="1" applyAlignment="1">
      <alignment wrapText="1"/>
    </xf>
    <xf numFmtId="0" fontId="2" fillId="2" borderId="11" xfId="0" applyFont="1" applyFill="1" applyBorder="1" applyAlignment="1">
      <alignment horizontal="center" wrapText="1"/>
    </xf>
    <xf numFmtId="164" fontId="6" fillId="2" borderId="40" xfId="0" applyNumberFormat="1" applyFont="1" applyFill="1" applyBorder="1" applyAlignment="1">
      <alignment wrapText="1"/>
    </xf>
    <xf numFmtId="164" fontId="2" fillId="2" borderId="33" xfId="1" applyNumberFormat="1" applyFont="1" applyFill="1" applyBorder="1" applyAlignment="1">
      <alignment wrapText="1"/>
    </xf>
    <xf numFmtId="164" fontId="2" fillId="2" borderId="34" xfId="0" applyNumberFormat="1" applyFont="1" applyFill="1" applyBorder="1" applyAlignment="1">
      <alignment wrapText="1"/>
    </xf>
    <xf numFmtId="164" fontId="6" fillId="2" borderId="14"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164" fontId="6" fillId="0" borderId="40" xfId="0" applyNumberFormat="1" applyFont="1" applyBorder="1" applyAlignment="1" applyProtection="1">
      <alignment wrapText="1"/>
      <protection locked="0"/>
    </xf>
    <xf numFmtId="164" fontId="6" fillId="3" borderId="40"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4" xfId="1" applyFont="1" applyFill="1" applyBorder="1" applyAlignment="1" applyProtection="1">
      <alignment vertical="center" wrapText="1"/>
    </xf>
    <xf numFmtId="164" fontId="2" fillId="2" borderId="38" xfId="1" applyFont="1" applyFill="1" applyBorder="1" applyAlignment="1" applyProtection="1">
      <alignment vertical="center" wrapText="1"/>
    </xf>
    <xf numFmtId="9" fontId="2" fillId="2" borderId="15" xfId="2" applyFont="1" applyFill="1" applyBorder="1" applyAlignment="1" applyProtection="1">
      <alignment vertical="center" wrapText="1"/>
    </xf>
    <xf numFmtId="0" fontId="3" fillId="2" borderId="29" xfId="0" applyFont="1" applyFill="1" applyBorder="1" applyAlignment="1" applyProtection="1">
      <alignment horizontal="left" vertical="center" wrapText="1"/>
    </xf>
    <xf numFmtId="164" fontId="2" fillId="2" borderId="17"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164" fontId="2" fillId="2" borderId="5" xfId="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49" fontId="6" fillId="3" borderId="3" xfId="1" applyNumberFormat="1" applyFont="1" applyFill="1" applyBorder="1" applyAlignment="1" applyProtection="1">
      <alignment horizontal="left" wrapText="1"/>
      <protection locked="0"/>
    </xf>
    <xf numFmtId="0" fontId="12" fillId="6" borderId="18"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5"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40"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xf>
    <xf numFmtId="164" fontId="2" fillId="2" borderId="5" xfId="1" applyFont="1" applyFill="1" applyBorder="1" applyAlignment="1" applyProtection="1">
      <alignment vertical="center" wrapText="1"/>
    </xf>
    <xf numFmtId="164" fontId="2" fillId="2" borderId="41"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4" xfId="0" applyNumberFormat="1" applyFont="1" applyFill="1" applyBorder="1" applyAlignment="1" applyProtection="1">
      <alignment vertical="center" wrapText="1"/>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0" fontId="2" fillId="2" borderId="3" xfId="1" applyNumberFormat="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6" fillId="7" borderId="16" xfId="0" applyFont="1" applyFill="1" applyBorder="1" applyAlignment="1">
      <alignment wrapText="1"/>
    </xf>
    <xf numFmtId="164" fontId="8" fillId="7" borderId="19" xfId="1" applyFont="1" applyFill="1" applyBorder="1" applyAlignment="1" applyProtection="1">
      <alignment vertical="center" wrapText="1"/>
    </xf>
    <xf numFmtId="0" fontId="4" fillId="3" borderId="2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28" xfId="0" applyFont="1" applyFill="1" applyBorder="1" applyAlignment="1">
      <alignment horizontal="left" vertical="top" wrapText="1"/>
    </xf>
    <xf numFmtId="0" fontId="6" fillId="0" borderId="11" xfId="0" applyFont="1" applyBorder="1" applyAlignment="1">
      <alignment wrapText="1"/>
    </xf>
    <xf numFmtId="0" fontId="2" fillId="4" borderId="44" xfId="0" applyFont="1" applyFill="1" applyBorder="1" applyAlignment="1" applyProtection="1">
      <alignment vertical="center" wrapText="1"/>
    </xf>
    <xf numFmtId="164" fontId="2" fillId="2" borderId="2" xfId="1" applyFont="1" applyFill="1" applyBorder="1" applyAlignment="1" applyProtection="1">
      <alignment horizontal="center" vertical="center" wrapText="1"/>
    </xf>
    <xf numFmtId="0" fontId="2" fillId="2" borderId="2" xfId="1" applyNumberFormat="1" applyFont="1" applyFill="1" applyBorder="1" applyAlignment="1" applyProtection="1">
      <alignment vertical="center" wrapText="1"/>
    </xf>
    <xf numFmtId="164" fontId="6" fillId="2" borderId="2" xfId="0" applyNumberFormat="1" applyFont="1" applyFill="1" applyBorder="1" applyAlignment="1" applyProtection="1">
      <alignment vertical="center" wrapText="1"/>
    </xf>
    <xf numFmtId="164" fontId="2" fillId="2" borderId="51" xfId="1" applyFont="1" applyFill="1" applyBorder="1" applyAlignment="1" applyProtection="1">
      <alignment vertical="center" wrapText="1"/>
    </xf>
    <xf numFmtId="164" fontId="2" fillId="2" borderId="9" xfId="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164" fontId="2" fillId="2" borderId="0" xfId="1" applyNumberFormat="1" applyFont="1" applyFill="1" applyBorder="1" applyAlignment="1">
      <alignment wrapText="1"/>
    </xf>
    <xf numFmtId="164" fontId="6" fillId="2" borderId="52" xfId="0" applyNumberFormat="1" applyFont="1" applyFill="1" applyBorder="1" applyAlignment="1">
      <alignment wrapText="1"/>
    </xf>
    <xf numFmtId="164" fontId="6" fillId="2" borderId="51" xfId="0" applyNumberFormat="1" applyFont="1" applyFill="1" applyBorder="1" applyAlignment="1">
      <alignment wrapText="1"/>
    </xf>
    <xf numFmtId="164" fontId="2" fillId="2" borderId="53" xfId="1" applyNumberFormat="1" applyFont="1" applyFill="1" applyBorder="1" applyAlignment="1">
      <alignment wrapText="1"/>
    </xf>
    <xf numFmtId="0" fontId="8" fillId="2" borderId="35" xfId="0" applyFont="1" applyFill="1" applyBorder="1" applyAlignment="1" applyProtection="1">
      <alignment vertical="center" wrapText="1"/>
    </xf>
    <xf numFmtId="164" fontId="2" fillId="2" borderId="12" xfId="0" applyNumberFormat="1" applyFont="1" applyFill="1" applyBorder="1" applyAlignment="1">
      <alignment wrapText="1"/>
    </xf>
    <xf numFmtId="164" fontId="2" fillId="2" borderId="13" xfId="1" applyFont="1" applyFill="1" applyBorder="1" applyAlignment="1" applyProtection="1">
      <alignment wrapText="1"/>
    </xf>
    <xf numFmtId="164" fontId="2" fillId="2" borderId="14" xfId="1" applyNumberFormat="1" applyFont="1" applyFill="1" applyBorder="1" applyAlignment="1">
      <alignment wrapText="1"/>
    </xf>
    <xf numFmtId="164" fontId="2" fillId="2" borderId="26" xfId="1" applyNumberFormat="1" applyFont="1" applyFill="1" applyBorder="1" applyAlignment="1">
      <alignment wrapText="1"/>
    </xf>
    <xf numFmtId="164" fontId="2" fillId="2" borderId="21" xfId="0" applyNumberFormat="1" applyFont="1" applyFill="1" applyBorder="1" applyAlignment="1">
      <alignment wrapText="1"/>
    </xf>
    <xf numFmtId="164" fontId="6" fillId="2" borderId="8" xfId="1" applyFont="1" applyFill="1" applyBorder="1" applyAlignment="1" applyProtection="1">
      <alignment wrapText="1"/>
    </xf>
    <xf numFmtId="164" fontId="6" fillId="2" borderId="3" xfId="1" applyNumberFormat="1" applyFont="1" applyFill="1" applyBorder="1" applyAlignment="1">
      <alignment wrapText="1"/>
    </xf>
    <xf numFmtId="0" fontId="2" fillId="2" borderId="3" xfId="0" applyNumberFormat="1" applyFont="1" applyFill="1" applyBorder="1" applyAlignment="1">
      <alignment horizontal="center" wrapText="1"/>
    </xf>
    <xf numFmtId="0" fontId="2" fillId="2" borderId="28" xfId="0" applyFont="1" applyFill="1" applyBorder="1" applyAlignment="1">
      <alignment wrapText="1"/>
    </xf>
    <xf numFmtId="0" fontId="2" fillId="2" borderId="52" xfId="0" applyFont="1" applyFill="1" applyBorder="1" applyAlignment="1">
      <alignment horizontal="center" wrapText="1"/>
    </xf>
    <xf numFmtId="164" fontId="2" fillId="2" borderId="2" xfId="0" applyNumberFormat="1" applyFont="1" applyFill="1" applyBorder="1" applyAlignment="1">
      <alignment horizontal="center" wrapText="1"/>
    </xf>
    <xf numFmtId="0" fontId="2" fillId="2" borderId="39" xfId="0" applyFont="1" applyFill="1" applyBorder="1" applyAlignment="1">
      <alignment horizontal="center" wrapText="1"/>
    </xf>
    <xf numFmtId="164" fontId="2" fillId="2" borderId="9" xfId="0" applyNumberFormat="1" applyFont="1" applyFill="1" applyBorder="1" applyAlignment="1">
      <alignment horizontal="center" wrapText="1"/>
    </xf>
    <xf numFmtId="164" fontId="6" fillId="2" borderId="39" xfId="0" applyNumberFormat="1" applyFont="1" applyFill="1" applyBorder="1" applyAlignment="1">
      <alignment wrapText="1"/>
    </xf>
    <xf numFmtId="164" fontId="6" fillId="2" borderId="15" xfId="0" applyNumberFormat="1" applyFont="1" applyFill="1" applyBorder="1" applyAlignment="1">
      <alignment wrapText="1"/>
    </xf>
    <xf numFmtId="0" fontId="21" fillId="0" borderId="0" xfId="0" applyFont="1" applyBorder="1" applyAlignment="1">
      <alignment wrapText="1"/>
    </xf>
    <xf numFmtId="0" fontId="12" fillId="6" borderId="16" xfId="0" applyFont="1" applyFill="1" applyBorder="1" applyAlignment="1">
      <alignment wrapText="1"/>
    </xf>
    <xf numFmtId="0" fontId="12" fillId="6" borderId="19"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2" xfId="2" applyFont="1" applyFill="1" applyBorder="1" applyAlignment="1" applyProtection="1">
      <alignment vertical="center" wrapText="1"/>
      <protection locked="0"/>
    </xf>
    <xf numFmtId="0" fontId="6" fillId="2" borderId="3" xfId="0" applyFont="1" applyFill="1" applyBorder="1" applyAlignment="1" applyProtection="1">
      <alignment vertical="center" wrapText="1"/>
    </xf>
    <xf numFmtId="164" fontId="2" fillId="2" borderId="15" xfId="1" applyNumberFormat="1" applyFont="1" applyFill="1" applyBorder="1" applyAlignment="1">
      <alignment wrapText="1"/>
    </xf>
    <xf numFmtId="164" fontId="6" fillId="2" borderId="54" xfId="1" applyFont="1" applyFill="1" applyBorder="1" applyAlignment="1" applyProtection="1">
      <alignment wrapText="1"/>
    </xf>
    <xf numFmtId="164" fontId="6" fillId="2" borderId="30" xfId="1" applyNumberFormat="1" applyFont="1" applyFill="1" applyBorder="1" applyAlignment="1">
      <alignment wrapText="1"/>
    </xf>
    <xf numFmtId="164" fontId="6" fillId="2" borderId="9" xfId="1" applyNumberFormat="1" applyFont="1" applyFill="1" applyBorder="1" applyAlignment="1">
      <alignment wrapText="1"/>
    </xf>
    <xf numFmtId="10" fontId="2" fillId="2" borderId="9" xfId="2" applyNumberFormat="1" applyFont="1" applyFill="1" applyBorder="1" applyAlignment="1" applyProtection="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6" borderId="16" xfId="1" applyFont="1" applyFill="1" applyBorder="1" applyAlignment="1">
      <alignment wrapText="1"/>
    </xf>
    <xf numFmtId="164" fontId="14" fillId="3" borderId="0" xfId="1" applyFont="1" applyFill="1" applyBorder="1" applyAlignment="1">
      <alignment horizontal="left" wrapText="1"/>
    </xf>
    <xf numFmtId="0" fontId="1" fillId="2" borderId="3" xfId="0" applyFont="1" applyFill="1" applyBorder="1" applyAlignment="1" applyProtection="1">
      <alignment horizontal="center" vertical="center" wrapText="1"/>
    </xf>
    <xf numFmtId="164" fontId="2" fillId="2" borderId="29" xfId="0" applyNumberFormat="1" applyFont="1" applyFill="1" applyBorder="1" applyAlignment="1">
      <alignment vertical="center" wrapText="1"/>
    </xf>
    <xf numFmtId="164" fontId="0" fillId="2" borderId="17" xfId="1" applyFont="1" applyFill="1" applyBorder="1" applyAlignment="1">
      <alignment vertical="center" wrapText="1"/>
    </xf>
    <xf numFmtId="0" fontId="3" fillId="2" borderId="13" xfId="0" applyFont="1" applyFill="1" applyBorder="1" applyAlignment="1">
      <alignment wrapText="1"/>
    </xf>
    <xf numFmtId="9" fontId="3" fillId="2" borderId="15" xfId="2" applyFont="1" applyFill="1" applyBorder="1" applyAlignment="1">
      <alignment wrapText="1"/>
    </xf>
    <xf numFmtId="164" fontId="0" fillId="2" borderId="14" xfId="0" applyNumberFormat="1" applyFill="1" applyBorder="1"/>
    <xf numFmtId="0" fontId="0" fillId="2" borderId="14" xfId="0" applyFill="1" applyBorder="1"/>
    <xf numFmtId="0" fontId="0" fillId="2" borderId="15" xfId="0" applyFill="1" applyBorder="1"/>
    <xf numFmtId="164" fontId="1" fillId="2" borderId="3" xfId="1" applyFont="1" applyFill="1" applyBorder="1" applyAlignment="1">
      <alignment vertical="center" wrapText="1"/>
    </xf>
    <xf numFmtId="0" fontId="0" fillId="0" borderId="0" xfId="0" applyFont="1" applyBorder="1" applyAlignment="1" applyProtection="1">
      <alignment wrapText="1"/>
    </xf>
    <xf numFmtId="0" fontId="22" fillId="0" borderId="3" xfId="0" applyFont="1" applyBorder="1" applyAlignment="1" applyProtection="1">
      <alignment wrapText="1"/>
      <protection locked="0"/>
    </xf>
    <xf numFmtId="0" fontId="22" fillId="0" borderId="3" xfId="0" applyFont="1" applyBorder="1" applyAlignment="1" applyProtection="1">
      <alignment horizontal="center" vertical="center" wrapText="1"/>
      <protection locked="0"/>
    </xf>
    <xf numFmtId="0" fontId="22" fillId="0" borderId="3" xfId="0" applyFont="1" applyBorder="1" applyAlignment="1" applyProtection="1">
      <alignment vertical="top" wrapText="1"/>
      <protection locked="0"/>
    </xf>
    <xf numFmtId="0" fontId="22" fillId="0" borderId="3" xfId="0" applyFont="1" applyBorder="1" applyAlignment="1" applyProtection="1">
      <alignment vertical="center" wrapText="1"/>
      <protection locked="0"/>
    </xf>
    <xf numFmtId="0" fontId="22" fillId="0" borderId="3" xfId="0" applyFont="1" applyBorder="1" applyAlignment="1" applyProtection="1">
      <alignment vertical="center" wrapText="1"/>
    </xf>
    <xf numFmtId="43" fontId="6" fillId="0" borderId="0" xfId="0" applyNumberFormat="1" applyFont="1" applyBorder="1" applyAlignment="1">
      <alignment wrapText="1"/>
    </xf>
    <xf numFmtId="164" fontId="6" fillId="0" borderId="0" xfId="0" applyNumberFormat="1" applyFont="1" applyBorder="1" applyAlignment="1">
      <alignment wrapText="1"/>
    </xf>
    <xf numFmtId="43" fontId="0" fillId="0" borderId="0" xfId="0" applyNumberFormat="1" applyFont="1" applyBorder="1" applyAlignment="1">
      <alignment wrapText="1"/>
    </xf>
    <xf numFmtId="164" fontId="6" fillId="0" borderId="0" xfId="0" applyNumberFormat="1" applyFont="1" applyFill="1" applyBorder="1" applyAlignment="1">
      <alignment wrapText="1"/>
    </xf>
    <xf numFmtId="43" fontId="6" fillId="0" borderId="0" xfId="0" applyNumberFormat="1" applyFont="1" applyFill="1" applyBorder="1" applyAlignment="1">
      <alignment wrapText="1"/>
    </xf>
    <xf numFmtId="43" fontId="2" fillId="0" borderId="0" xfId="0" applyNumberFormat="1" applyFont="1" applyFill="1" applyBorder="1" applyAlignment="1" applyProtection="1">
      <alignment vertical="center" wrapText="1"/>
      <protection locked="0"/>
    </xf>
    <xf numFmtId="43" fontId="0" fillId="0" borderId="0" xfId="0" applyNumberFormat="1" applyFont="1" applyFill="1" applyBorder="1" applyAlignment="1">
      <alignment wrapText="1"/>
    </xf>
    <xf numFmtId="43" fontId="0" fillId="0" borderId="0" xfId="3" applyFont="1" applyFill="1" applyBorder="1" applyAlignment="1">
      <alignment wrapText="1"/>
    </xf>
    <xf numFmtId="49" fontId="1"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vertical="center" wrapText="1"/>
      <protection locked="0"/>
    </xf>
    <xf numFmtId="0" fontId="0" fillId="0" borderId="0" xfId="0" applyBorder="1" applyAlignment="1">
      <alignment wrapText="1"/>
    </xf>
    <xf numFmtId="0" fontId="1" fillId="0" borderId="0" xfId="0" applyFont="1" applyBorder="1" applyAlignment="1">
      <alignment wrapText="1"/>
    </xf>
    <xf numFmtId="0"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19" fillId="0" borderId="0" xfId="0" applyFont="1" applyBorder="1" applyAlignment="1">
      <alignment horizontal="left" vertical="top" wrapText="1"/>
    </xf>
    <xf numFmtId="0" fontId="14" fillId="6" borderId="27" xfId="0" applyFont="1" applyFill="1" applyBorder="1" applyAlignment="1">
      <alignment horizontal="left" wrapText="1"/>
    </xf>
    <xf numFmtId="0" fontId="14" fillId="6" borderId="28" xfId="0" applyFont="1" applyFill="1" applyBorder="1" applyAlignment="1">
      <alignment horizontal="left" wrapText="1"/>
    </xf>
    <xf numFmtId="0" fontId="14" fillId="6" borderId="22" xfId="0" applyFont="1" applyFill="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4" fillId="6" borderId="20" xfId="0" applyFont="1" applyFill="1" applyBorder="1" applyAlignment="1">
      <alignment horizontal="left" wrapText="1"/>
    </xf>
    <xf numFmtId="0" fontId="4" fillId="6" borderId="26" xfId="0" applyFont="1" applyFill="1" applyBorder="1" applyAlignment="1">
      <alignment horizontal="left" wrapText="1"/>
    </xf>
    <xf numFmtId="164" fontId="4" fillId="6" borderId="26" xfId="1" applyFont="1" applyFill="1" applyBorder="1" applyAlignment="1">
      <alignment horizontal="left" wrapText="1"/>
    </xf>
    <xf numFmtId="0" fontId="4" fillId="6" borderId="21" xfId="0" applyFont="1" applyFill="1" applyBorder="1" applyAlignment="1">
      <alignment horizontal="left" wrapText="1"/>
    </xf>
    <xf numFmtId="0" fontId="2" fillId="0" borderId="0" xfId="0" applyFont="1" applyFill="1" applyBorder="1" applyAlignment="1">
      <alignment horizontal="center" vertical="center" wrapText="1"/>
    </xf>
    <xf numFmtId="0" fontId="2" fillId="2" borderId="29"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2" fillId="3" borderId="3" xfId="0" applyFont="1" applyFill="1" applyBorder="1" applyAlignment="1" applyProtection="1">
      <alignment horizontal="left" vertical="top" wrapText="1"/>
      <protection locked="0"/>
    </xf>
    <xf numFmtId="0" fontId="2" fillId="2" borderId="5"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5" xfId="1" applyFont="1" applyFill="1" applyBorder="1" applyAlignment="1" applyProtection="1">
      <alignment horizontal="center" vertical="center" wrapText="1"/>
    </xf>
    <xf numFmtId="164" fontId="2" fillId="2" borderId="40" xfId="1" applyFont="1" applyFill="1" applyBorder="1" applyAlignment="1" applyProtection="1">
      <alignment horizontal="center" vertical="center" wrapText="1"/>
    </xf>
    <xf numFmtId="0" fontId="2" fillId="4" borderId="43"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6" borderId="27" xfId="0" applyFont="1" applyFill="1" applyBorder="1" applyAlignment="1">
      <alignment horizontal="left" wrapText="1"/>
    </xf>
    <xf numFmtId="0" fontId="2" fillId="6" borderId="28" xfId="0" applyFont="1" applyFill="1" applyBorder="1" applyAlignment="1">
      <alignment horizontal="left" wrapText="1"/>
    </xf>
    <xf numFmtId="0" fontId="2" fillId="6" borderId="2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12" fillId="7" borderId="18" xfId="0" applyFont="1" applyFill="1" applyBorder="1" applyAlignment="1">
      <alignment horizontal="left" wrapText="1"/>
    </xf>
    <xf numFmtId="0" fontId="12" fillId="7" borderId="16" xfId="0" applyFont="1" applyFill="1" applyBorder="1" applyAlignment="1">
      <alignment horizontal="left" wrapText="1"/>
    </xf>
    <xf numFmtId="0" fontId="12" fillId="7" borderId="42" xfId="0" applyFont="1" applyFill="1" applyBorder="1" applyAlignment="1">
      <alignment horizontal="left" wrapText="1"/>
    </xf>
    <xf numFmtId="0" fontId="4" fillId="7" borderId="11"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6"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2" borderId="30"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2"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6" borderId="18"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21" xfId="0" applyFont="1" applyFill="1" applyBorder="1" applyAlignment="1">
      <alignment horizontal="center" vertical="center"/>
    </xf>
    <xf numFmtId="9" fontId="0" fillId="0" borderId="0" xfId="2" applyFont="1" applyBorder="1" applyAlignment="1">
      <alignment wrapText="1"/>
    </xf>
  </cellXfs>
  <cellStyles count="4">
    <cellStyle name="Comma" xfId="3" builtinId="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0"/>
  </sheetPr>
  <dimension ref="A2:Q96"/>
  <sheetViews>
    <sheetView showGridLines="0" showZeros="0" tabSelected="1" topLeftCell="A79" zoomScale="60" zoomScaleNormal="60" workbookViewId="0">
      <selection activeCell="I83" sqref="I83"/>
    </sheetView>
  </sheetViews>
  <sheetFormatPr defaultColWidth="9.140625" defaultRowHeight="15"/>
  <cols>
    <col min="1" max="1" width="9.140625" style="47"/>
    <col min="2" max="2" width="30.7109375" style="47" customWidth="1"/>
    <col min="3" max="3" width="56.42578125" style="47" customWidth="1"/>
    <col min="4" max="4" width="24.28515625" style="47" customWidth="1"/>
    <col min="5" max="6" width="23.140625" style="47" hidden="1" customWidth="1"/>
    <col min="7" max="7" width="18.5703125" style="47" hidden="1" customWidth="1"/>
    <col min="8" max="8" width="29.28515625" style="47" customWidth="1"/>
    <col min="9" max="9" width="28.140625" style="208" customWidth="1"/>
    <col min="10" max="10" width="31.42578125" style="47" customWidth="1"/>
    <col min="11" max="11" width="20.140625" style="47" bestFit="1" customWidth="1"/>
    <col min="12" max="12" width="9.140625" style="47"/>
    <col min="13" max="13" width="17.7109375" style="47" customWidth="1"/>
    <col min="14" max="14" width="26.42578125" style="47" customWidth="1"/>
    <col min="15" max="15" width="22.42578125" style="47" customWidth="1"/>
    <col min="16" max="16" width="29.7109375" style="47" customWidth="1"/>
    <col min="17" max="17" width="23.42578125" style="47" customWidth="1"/>
    <col min="18" max="18" width="18.42578125" style="47" customWidth="1"/>
    <col min="19" max="19" width="17.42578125" style="47" customWidth="1"/>
    <col min="20" max="20" width="25.140625" style="47" customWidth="1"/>
    <col min="21" max="16384" width="9.140625" style="47"/>
  </cols>
  <sheetData>
    <row r="2" spans="2:14" ht="47.25" customHeight="1">
      <c r="B2" s="249" t="s">
        <v>437</v>
      </c>
      <c r="C2" s="249"/>
      <c r="D2" s="249"/>
      <c r="E2" s="249"/>
      <c r="F2" s="45"/>
      <c r="G2" s="45"/>
      <c r="H2" s="46"/>
      <c r="I2" s="214"/>
      <c r="J2" s="46"/>
    </row>
    <row r="3" spans="2:14" ht="15.75">
      <c r="B3" s="192" t="s">
        <v>438</v>
      </c>
    </row>
    <row r="4" spans="2:14" ht="16.5" thickBot="1">
      <c r="B4" s="50"/>
    </row>
    <row r="5" spans="2:14" ht="36">
      <c r="B5" s="137" t="s">
        <v>13</v>
      </c>
      <c r="C5" s="193"/>
      <c r="D5" s="193"/>
      <c r="E5" s="193"/>
      <c r="F5" s="193"/>
      <c r="G5" s="193"/>
      <c r="H5" s="193"/>
      <c r="I5" s="215"/>
      <c r="J5" s="193"/>
      <c r="K5" s="193"/>
      <c r="L5" s="193"/>
      <c r="M5" s="194"/>
    </row>
    <row r="6" spans="2:14" ht="167.25" customHeight="1" thickBot="1">
      <c r="B6" s="261" t="s">
        <v>436</v>
      </c>
      <c r="C6" s="262"/>
      <c r="D6" s="262"/>
      <c r="E6" s="262"/>
      <c r="F6" s="262"/>
      <c r="G6" s="262"/>
      <c r="H6" s="262"/>
      <c r="I6" s="263"/>
      <c r="J6" s="262"/>
      <c r="K6" s="262"/>
      <c r="L6" s="262"/>
      <c r="M6" s="264"/>
    </row>
    <row r="7" spans="2:14">
      <c r="B7" s="51"/>
    </row>
    <row r="8" spans="2:14" ht="15.75" thickBot="1"/>
    <row r="9" spans="2:14" ht="27" customHeight="1" thickBot="1">
      <c r="B9" s="250" t="s">
        <v>49</v>
      </c>
      <c r="C9" s="251"/>
      <c r="D9" s="251"/>
      <c r="E9" s="251"/>
      <c r="F9" s="251"/>
      <c r="G9" s="251"/>
      <c r="H9" s="252"/>
      <c r="I9" s="216"/>
    </row>
    <row r="11" spans="2:14" ht="25.5" customHeight="1">
      <c r="D11" s="52"/>
      <c r="E11" s="52"/>
      <c r="F11" s="52"/>
      <c r="G11" s="52"/>
      <c r="H11" s="49"/>
      <c r="I11" s="213"/>
      <c r="J11" s="48"/>
      <c r="K11" s="48"/>
    </row>
    <row r="12" spans="2:14" ht="99.75" customHeight="1">
      <c r="B12" s="59" t="s">
        <v>439</v>
      </c>
      <c r="C12" s="59" t="s">
        <v>440</v>
      </c>
      <c r="D12" s="59" t="s">
        <v>441</v>
      </c>
      <c r="E12" s="59" t="s">
        <v>50</v>
      </c>
      <c r="F12" s="59" t="s">
        <v>51</v>
      </c>
      <c r="G12" s="59" t="s">
        <v>34</v>
      </c>
      <c r="H12" s="59" t="s">
        <v>442</v>
      </c>
      <c r="I12" s="217" t="s">
        <v>448</v>
      </c>
      <c r="J12" s="59" t="s">
        <v>18</v>
      </c>
      <c r="K12" s="58"/>
    </row>
    <row r="13" spans="2:14" ht="18.75" customHeight="1">
      <c r="B13" s="59"/>
      <c r="C13" s="59"/>
      <c r="D13" s="87"/>
      <c r="E13" s="87"/>
      <c r="F13" s="87"/>
      <c r="G13" s="87"/>
      <c r="H13" s="59"/>
      <c r="I13" s="203"/>
      <c r="J13" s="59"/>
      <c r="K13" s="58"/>
    </row>
    <row r="14" spans="2:14" ht="66" customHeight="1">
      <c r="B14" s="118" t="s">
        <v>0</v>
      </c>
      <c r="C14" s="258" t="s">
        <v>461</v>
      </c>
      <c r="D14" s="259"/>
      <c r="E14" s="259"/>
      <c r="F14" s="259"/>
      <c r="G14" s="259"/>
      <c r="H14" s="259"/>
      <c r="I14" s="259"/>
      <c r="J14" s="260"/>
      <c r="K14" s="22"/>
    </row>
    <row r="15" spans="2:14" ht="25.5" customHeight="1">
      <c r="B15" s="118" t="s">
        <v>1</v>
      </c>
      <c r="C15" s="256" t="s">
        <v>451</v>
      </c>
      <c r="D15" s="257"/>
      <c r="E15" s="257"/>
      <c r="F15" s="257"/>
      <c r="G15" s="257"/>
      <c r="H15" s="257"/>
      <c r="I15" s="248"/>
      <c r="J15" s="257"/>
      <c r="K15" s="61"/>
    </row>
    <row r="16" spans="2:14" ht="122.25" customHeight="1">
      <c r="B16" s="197" t="s">
        <v>2</v>
      </c>
      <c r="C16" s="228" t="s">
        <v>451</v>
      </c>
      <c r="D16" s="23">
        <v>68897.179999999993</v>
      </c>
      <c r="E16" s="23"/>
      <c r="F16" s="23"/>
      <c r="G16" s="154">
        <f>D16</f>
        <v>68897.179999999993</v>
      </c>
      <c r="H16" s="150">
        <v>0.5</v>
      </c>
      <c r="I16" s="204">
        <f>65086.24+1849.28+184.92+452.61</f>
        <v>67573.05</v>
      </c>
      <c r="J16" s="241" t="s">
        <v>464</v>
      </c>
      <c r="K16" s="62"/>
      <c r="N16" s="234"/>
    </row>
    <row r="17" spans="1:17" ht="15.75">
      <c r="A17" s="48"/>
      <c r="C17" s="118" t="s">
        <v>48</v>
      </c>
      <c r="D17" s="25">
        <f>SUM(D16:D16)</f>
        <v>68897.179999999993</v>
      </c>
      <c r="E17" s="25">
        <f>SUM(E16:E16)</f>
        <v>0</v>
      </c>
      <c r="F17" s="25">
        <f>SUM(F16:F16)</f>
        <v>0</v>
      </c>
      <c r="G17" s="25">
        <f>SUM(G16:G16)</f>
        <v>68897.179999999993</v>
      </c>
      <c r="H17" s="138">
        <f>(H16*G16)</f>
        <v>34448.589999999997</v>
      </c>
      <c r="I17" s="138">
        <f>SUM(I16:I16)</f>
        <v>67573.05</v>
      </c>
      <c r="J17" s="136"/>
      <c r="K17" s="64"/>
    </row>
    <row r="18" spans="1:17" ht="51" customHeight="1">
      <c r="A18" s="48"/>
      <c r="B18" s="118" t="s">
        <v>3</v>
      </c>
      <c r="C18" s="253" t="s">
        <v>452</v>
      </c>
      <c r="D18" s="254"/>
      <c r="E18" s="254"/>
      <c r="F18" s="254"/>
      <c r="G18" s="254"/>
      <c r="H18" s="254"/>
      <c r="I18" s="254"/>
      <c r="J18" s="255"/>
      <c r="K18" s="61"/>
    </row>
    <row r="19" spans="1:17" s="226" customFormat="1" ht="76.5" customHeight="1">
      <c r="B19" s="197" t="s">
        <v>31</v>
      </c>
      <c r="C19" s="231" t="s">
        <v>452</v>
      </c>
      <c r="D19" s="23">
        <v>41193.68</v>
      </c>
      <c r="E19" s="23"/>
      <c r="F19" s="23"/>
      <c r="G19" s="154">
        <f>D19</f>
        <v>41193.68</v>
      </c>
      <c r="H19" s="150">
        <v>0.5</v>
      </c>
      <c r="I19" s="204">
        <f>37244.6+1849.28+184.92+452.61</f>
        <v>39731.409999999996</v>
      </c>
      <c r="J19" s="240" t="s">
        <v>465</v>
      </c>
      <c r="K19" s="62"/>
    </row>
    <row r="20" spans="1:17" ht="15.75">
      <c r="A20" s="48"/>
      <c r="C20" s="118" t="s">
        <v>48</v>
      </c>
      <c r="D20" s="28">
        <f>SUM(D19:D19)</f>
        <v>41193.68</v>
      </c>
      <c r="E20" s="28">
        <f>SUM(E19:E19)</f>
        <v>0</v>
      </c>
      <c r="F20" s="28">
        <f>SUM(F19:F19)</f>
        <v>0</v>
      </c>
      <c r="G20" s="28">
        <f>SUM(G19:G19)</f>
        <v>41193.68</v>
      </c>
      <c r="H20" s="138">
        <f>(H19*G19)</f>
        <v>20596.84</v>
      </c>
      <c r="I20" s="138">
        <f>SUM(I19:I19)</f>
        <v>39731.409999999996</v>
      </c>
      <c r="J20" s="136"/>
      <c r="K20" s="64"/>
    </row>
    <row r="21" spans="1:17" ht="51" customHeight="1">
      <c r="A21" s="48"/>
      <c r="B21" s="118" t="s">
        <v>4</v>
      </c>
      <c r="C21" s="253" t="s">
        <v>462</v>
      </c>
      <c r="D21" s="254"/>
      <c r="E21" s="254"/>
      <c r="F21" s="254"/>
      <c r="G21" s="254"/>
      <c r="H21" s="254"/>
      <c r="I21" s="254"/>
      <c r="J21" s="255"/>
      <c r="K21" s="61"/>
    </row>
    <row r="22" spans="1:17" s="226" customFormat="1" ht="98.25" customHeight="1">
      <c r="B22" s="197" t="s">
        <v>32</v>
      </c>
      <c r="C22" s="231" t="s">
        <v>462</v>
      </c>
      <c r="D22" s="23">
        <v>55261.46</v>
      </c>
      <c r="E22" s="23"/>
      <c r="F22" s="23"/>
      <c r="G22" s="154">
        <f>D22</f>
        <v>55261.46</v>
      </c>
      <c r="H22" s="150">
        <v>0.5</v>
      </c>
      <c r="I22" s="204">
        <f>51312.38+1849.28+184.92+452.61</f>
        <v>53799.189999999995</v>
      </c>
      <c r="J22" s="240" t="s">
        <v>465</v>
      </c>
      <c r="K22" s="62"/>
    </row>
    <row r="23" spans="1:17" ht="15.75">
      <c r="C23" s="118" t="s">
        <v>48</v>
      </c>
      <c r="D23" s="25">
        <f>SUM(D22:D22)</f>
        <v>55261.46</v>
      </c>
      <c r="E23" s="28">
        <f>SUM(E22:E22)</f>
        <v>0</v>
      </c>
      <c r="F23" s="28">
        <f>SUM(F22:F22)</f>
        <v>0</v>
      </c>
      <c r="G23" s="28">
        <f>SUM(G22:G22)</f>
        <v>55261.46</v>
      </c>
      <c r="H23" s="138">
        <f>(H22*G22)</f>
        <v>27630.73</v>
      </c>
      <c r="I23" s="138">
        <f>SUM(I22:I22)</f>
        <v>53799.189999999995</v>
      </c>
      <c r="J23" s="136"/>
      <c r="K23" s="64"/>
      <c r="M23" s="234"/>
      <c r="N23" s="234"/>
      <c r="O23" s="234"/>
      <c r="P23" s="234"/>
      <c r="Q23" s="234"/>
    </row>
    <row r="24" spans="1:17" ht="15.75">
      <c r="B24" s="16"/>
      <c r="C24" s="17"/>
      <c r="D24" s="15"/>
      <c r="E24" s="15"/>
      <c r="F24" s="15"/>
      <c r="G24" s="15"/>
      <c r="H24" s="15"/>
      <c r="I24" s="15"/>
      <c r="J24" s="15"/>
      <c r="K24" s="63"/>
      <c r="O24" s="234"/>
    </row>
    <row r="25" spans="1:17" ht="51" customHeight="1">
      <c r="B25" s="118" t="s">
        <v>5</v>
      </c>
      <c r="C25" s="244" t="s">
        <v>453</v>
      </c>
      <c r="D25" s="244"/>
      <c r="E25" s="244"/>
      <c r="F25" s="244"/>
      <c r="G25" s="244"/>
      <c r="H25" s="244"/>
      <c r="I25" s="245"/>
      <c r="J25" s="244"/>
      <c r="K25" s="22"/>
    </row>
    <row r="26" spans="1:17" ht="51" customHeight="1">
      <c r="B26" s="118" t="s">
        <v>66</v>
      </c>
      <c r="C26" s="246" t="s">
        <v>454</v>
      </c>
      <c r="D26" s="247"/>
      <c r="E26" s="247"/>
      <c r="F26" s="247"/>
      <c r="G26" s="247"/>
      <c r="H26" s="247"/>
      <c r="I26" s="248"/>
      <c r="J26" s="247"/>
      <c r="K26" s="61"/>
    </row>
    <row r="27" spans="1:17" s="226" customFormat="1" ht="69" customHeight="1">
      <c r="B27" s="197" t="s">
        <v>36</v>
      </c>
      <c r="C27" s="230" t="s">
        <v>463</v>
      </c>
      <c r="D27" s="23">
        <v>108258.86</v>
      </c>
      <c r="E27" s="23"/>
      <c r="F27" s="23"/>
      <c r="G27" s="154">
        <f t="shared" ref="G27" si="0">D27</f>
        <v>108258.86</v>
      </c>
      <c r="H27" s="150">
        <v>0.5</v>
      </c>
      <c r="I27" s="204">
        <f>104757.29+1849.28+184.92+452.61</f>
        <v>107244.09999999999</v>
      </c>
      <c r="J27" s="240" t="s">
        <v>466</v>
      </c>
      <c r="K27" s="62"/>
    </row>
    <row r="28" spans="1:17" s="48" customFormat="1" ht="15.75">
      <c r="A28" s="47"/>
      <c r="B28" s="47"/>
      <c r="C28" s="118" t="s">
        <v>48</v>
      </c>
      <c r="D28" s="25">
        <f>SUM(D27:D27)</f>
        <v>108258.86</v>
      </c>
      <c r="E28" s="25">
        <f>SUM(E27:E27)</f>
        <v>0</v>
      </c>
      <c r="F28" s="25">
        <f>SUM(F27:F27)</f>
        <v>0</v>
      </c>
      <c r="G28" s="28">
        <f>SUM(G27:G27)</f>
        <v>108258.86</v>
      </c>
      <c r="H28" s="138">
        <f>(H27*G27)</f>
        <v>54129.43</v>
      </c>
      <c r="I28" s="138">
        <f>SUM(I27:I27)</f>
        <v>107244.09999999999</v>
      </c>
      <c r="J28" s="136"/>
      <c r="K28" s="64"/>
    </row>
    <row r="29" spans="1:17" ht="51" customHeight="1">
      <c r="B29" s="118" t="s">
        <v>37</v>
      </c>
      <c r="C29" s="246" t="s">
        <v>455</v>
      </c>
      <c r="D29" s="247"/>
      <c r="E29" s="247"/>
      <c r="F29" s="247"/>
      <c r="G29" s="247"/>
      <c r="H29" s="247"/>
      <c r="I29" s="248"/>
      <c r="J29" s="247"/>
      <c r="K29" s="61"/>
    </row>
    <row r="30" spans="1:17" ht="62.25" customHeight="1">
      <c r="B30" s="197" t="s">
        <v>38</v>
      </c>
      <c r="C30" s="229" t="s">
        <v>455</v>
      </c>
      <c r="D30" s="23">
        <v>13833.38</v>
      </c>
      <c r="E30" s="23"/>
      <c r="F30" s="23"/>
      <c r="G30" s="154">
        <f>D30</f>
        <v>13833.38</v>
      </c>
      <c r="H30" s="150">
        <v>0.5</v>
      </c>
      <c r="I30" s="204">
        <f>13850.52+1849.28+184.92+452.61</f>
        <v>16337.330000000002</v>
      </c>
      <c r="J30" s="240" t="s">
        <v>466</v>
      </c>
      <c r="K30" s="62"/>
    </row>
    <row r="31" spans="1:17" ht="15.75">
      <c r="B31" s="197" t="s">
        <v>39</v>
      </c>
      <c r="C31" s="57"/>
      <c r="D31" s="24"/>
      <c r="E31" s="24"/>
      <c r="F31" s="24"/>
      <c r="G31" s="154">
        <f t="shared" ref="G31" si="1">D31</f>
        <v>0</v>
      </c>
      <c r="H31" s="151"/>
      <c r="I31" s="205"/>
      <c r="J31" s="136"/>
      <c r="K31" s="62"/>
    </row>
    <row r="32" spans="1:17" ht="15.75">
      <c r="C32" s="118" t="s">
        <v>48</v>
      </c>
      <c r="D32" s="28">
        <f>SUM(D30:D31)</f>
        <v>13833.38</v>
      </c>
      <c r="E32" s="28">
        <f>SUM(E30:E31)</f>
        <v>0</v>
      </c>
      <c r="F32" s="28">
        <f>SUM(F30:F31)</f>
        <v>0</v>
      </c>
      <c r="G32" s="28">
        <f>SUM(G30:G31)</f>
        <v>13833.38</v>
      </c>
      <c r="H32" s="138">
        <f>(H30*G30)</f>
        <v>6916.69</v>
      </c>
      <c r="I32" s="138">
        <f>SUM(I30:I31)</f>
        <v>16337.330000000002</v>
      </c>
      <c r="J32" s="136"/>
      <c r="K32" s="64"/>
    </row>
    <row r="33" spans="2:15" ht="51" customHeight="1">
      <c r="B33" s="118" t="s">
        <v>40</v>
      </c>
      <c r="C33" s="246" t="s">
        <v>456</v>
      </c>
      <c r="D33" s="247"/>
      <c r="E33" s="247"/>
      <c r="F33" s="247"/>
      <c r="G33" s="247"/>
      <c r="H33" s="247"/>
      <c r="I33" s="248"/>
      <c r="J33" s="247"/>
      <c r="K33" s="61"/>
    </row>
    <row r="34" spans="2:15" ht="87" customHeight="1">
      <c r="B34" s="197" t="s">
        <v>41</v>
      </c>
      <c r="C34" s="227" t="s">
        <v>456</v>
      </c>
      <c r="D34" s="23">
        <v>42892.76</v>
      </c>
      <c r="E34" s="23"/>
      <c r="F34" s="23"/>
      <c r="G34" s="154">
        <f>D34</f>
        <v>42892.76</v>
      </c>
      <c r="H34" s="150">
        <v>0.3</v>
      </c>
      <c r="I34" s="204">
        <f>34416.82+1849.28+184.92+452.61</f>
        <v>36903.629999999997</v>
      </c>
      <c r="J34" s="240" t="s">
        <v>466</v>
      </c>
      <c r="K34" s="62"/>
    </row>
    <row r="35" spans="2:15" ht="15.75">
      <c r="C35" s="118" t="s">
        <v>48</v>
      </c>
      <c r="D35" s="28">
        <f>SUM(D34:D34)</f>
        <v>42892.76</v>
      </c>
      <c r="E35" s="28">
        <f>SUM(E34:E34)</f>
        <v>0</v>
      </c>
      <c r="F35" s="28">
        <f>SUM(F34:F34)</f>
        <v>0</v>
      </c>
      <c r="G35" s="28">
        <f>SUM(G34:G34)</f>
        <v>42892.76</v>
      </c>
      <c r="H35" s="138">
        <f>(H34*G34)</f>
        <v>12867.828</v>
      </c>
      <c r="I35" s="138">
        <f>SUM(I34:I34)</f>
        <v>36903.629999999997</v>
      </c>
      <c r="J35" s="136"/>
      <c r="K35" s="64"/>
      <c r="M35" s="234"/>
      <c r="N35" s="234"/>
      <c r="O35" s="336"/>
    </row>
    <row r="36" spans="2:15" ht="15.75" customHeight="1">
      <c r="B36" s="7"/>
      <c r="C36" s="16"/>
      <c r="D36" s="30"/>
      <c r="E36" s="30"/>
      <c r="F36" s="30"/>
      <c r="G36" s="30"/>
      <c r="H36" s="30"/>
      <c r="I36" s="30"/>
      <c r="J36" s="16"/>
      <c r="K36" s="4"/>
    </row>
    <row r="37" spans="2:15" ht="51" customHeight="1">
      <c r="B37" s="118" t="s">
        <v>42</v>
      </c>
      <c r="C37" s="272" t="s">
        <v>457</v>
      </c>
      <c r="D37" s="272"/>
      <c r="E37" s="272"/>
      <c r="F37" s="272"/>
      <c r="G37" s="272"/>
      <c r="H37" s="272"/>
      <c r="I37" s="245"/>
      <c r="J37" s="272"/>
      <c r="K37" s="22"/>
    </row>
    <row r="38" spans="2:15" ht="51" customHeight="1">
      <c r="B38" s="118" t="s">
        <v>43</v>
      </c>
      <c r="C38" s="246" t="s">
        <v>458</v>
      </c>
      <c r="D38" s="247"/>
      <c r="E38" s="247"/>
      <c r="F38" s="247"/>
      <c r="G38" s="247"/>
      <c r="H38" s="247"/>
      <c r="I38" s="248"/>
      <c r="J38" s="247"/>
      <c r="K38" s="61"/>
    </row>
    <row r="39" spans="2:15" ht="84" customHeight="1">
      <c r="B39" s="197" t="s">
        <v>44</v>
      </c>
      <c r="C39" s="230" t="s">
        <v>458</v>
      </c>
      <c r="D39" s="23">
        <v>62778.13</v>
      </c>
      <c r="E39" s="23"/>
      <c r="F39" s="23"/>
      <c r="G39" s="154">
        <f>D39</f>
        <v>62778.13</v>
      </c>
      <c r="H39" s="150">
        <v>0.3</v>
      </c>
      <c r="I39" s="204">
        <f>64180.05+1849.28+184.92+452.61</f>
        <v>66666.86</v>
      </c>
      <c r="J39" s="240" t="s">
        <v>466</v>
      </c>
      <c r="K39" s="62"/>
    </row>
    <row r="40" spans="2:15" ht="15.75">
      <c r="C40" s="118" t="s">
        <v>48</v>
      </c>
      <c r="D40" s="25">
        <f>SUM(D39:D39)</f>
        <v>62778.13</v>
      </c>
      <c r="E40" s="25">
        <f>SUM(E39:E39)</f>
        <v>0</v>
      </c>
      <c r="F40" s="25">
        <f>SUM(F39:F39)</f>
        <v>0</v>
      </c>
      <c r="G40" s="28">
        <f>SUM(G39:G39)</f>
        <v>62778.13</v>
      </c>
      <c r="H40" s="138">
        <f>(H39*G39)</f>
        <v>18833.438999999998</v>
      </c>
      <c r="I40" s="138">
        <f>SUM(I39:I39)</f>
        <v>66666.86</v>
      </c>
      <c r="J40" s="136"/>
      <c r="K40" s="64"/>
      <c r="M40" s="234"/>
      <c r="N40" s="234"/>
    </row>
    <row r="41" spans="2:15" ht="51" customHeight="1">
      <c r="B41" s="118" t="s">
        <v>6</v>
      </c>
      <c r="C41" s="246" t="s">
        <v>459</v>
      </c>
      <c r="D41" s="247"/>
      <c r="E41" s="247"/>
      <c r="F41" s="247"/>
      <c r="G41" s="247"/>
      <c r="H41" s="247"/>
      <c r="I41" s="248"/>
      <c r="J41" s="247"/>
      <c r="K41" s="61"/>
      <c r="N41" s="234"/>
    </row>
    <row r="42" spans="2:15" ht="88.5" customHeight="1">
      <c r="B42" s="197" t="s">
        <v>45</v>
      </c>
      <c r="C42" s="227" t="s">
        <v>459</v>
      </c>
      <c r="D42" s="23">
        <v>11438.49</v>
      </c>
      <c r="E42" s="23"/>
      <c r="F42" s="23"/>
      <c r="G42" s="154">
        <f>D42</f>
        <v>11438.49</v>
      </c>
      <c r="H42" s="150">
        <v>0.3</v>
      </c>
      <c r="I42" s="204">
        <f>11557.47+1849.58+184.92+452.61</f>
        <v>14044.58</v>
      </c>
      <c r="J42" s="240" t="s">
        <v>466</v>
      </c>
      <c r="K42" s="62"/>
      <c r="N42" s="234"/>
    </row>
    <row r="43" spans="2:15" ht="15.75">
      <c r="C43" s="118" t="s">
        <v>48</v>
      </c>
      <c r="D43" s="28">
        <f>SUM(D42:D42)</f>
        <v>11438.49</v>
      </c>
      <c r="E43" s="28">
        <f>SUM(E42:E42)</f>
        <v>0</v>
      </c>
      <c r="F43" s="28">
        <f>SUM(F42:F42)</f>
        <v>0</v>
      </c>
      <c r="G43" s="28">
        <f>SUM(G42:G42)</f>
        <v>11438.49</v>
      </c>
      <c r="H43" s="138">
        <f>(H42*G42)</f>
        <v>3431.547</v>
      </c>
      <c r="I43" s="138">
        <f>SUM(I42:I42)</f>
        <v>14044.58</v>
      </c>
      <c r="J43" s="136"/>
      <c r="K43" s="64"/>
      <c r="M43" s="234"/>
      <c r="N43" s="234"/>
    </row>
    <row r="44" spans="2:15" ht="51" customHeight="1">
      <c r="B44" s="118" t="s">
        <v>46</v>
      </c>
      <c r="C44" s="246" t="s">
        <v>460</v>
      </c>
      <c r="D44" s="247"/>
      <c r="E44" s="247"/>
      <c r="F44" s="247"/>
      <c r="G44" s="247"/>
      <c r="H44" s="247"/>
      <c r="I44" s="248"/>
      <c r="J44" s="247"/>
      <c r="K44" s="61"/>
      <c r="N44" s="234"/>
    </row>
    <row r="45" spans="2:15" ht="84" customHeight="1">
      <c r="B45" s="197" t="s">
        <v>47</v>
      </c>
      <c r="C45" s="227" t="s">
        <v>460</v>
      </c>
      <c r="D45" s="23">
        <v>19883.89</v>
      </c>
      <c r="E45" s="23"/>
      <c r="F45" s="23"/>
      <c r="G45" s="154">
        <f>D45</f>
        <v>19883.89</v>
      </c>
      <c r="H45" s="150">
        <v>0.3</v>
      </c>
      <c r="I45" s="204">
        <f>19532.87+1849.58+184.92+452.61</f>
        <v>22019.979999999996</v>
      </c>
      <c r="J45" s="240" t="s">
        <v>466</v>
      </c>
      <c r="K45" s="62"/>
      <c r="N45" s="234"/>
    </row>
    <row r="46" spans="2:15" ht="15.75">
      <c r="C46" s="118" t="s">
        <v>48</v>
      </c>
      <c r="D46" s="25">
        <f>SUM(D45:D45)</f>
        <v>19883.89</v>
      </c>
      <c r="E46" s="28">
        <f>SUM(E45:E45)</f>
        <v>0</v>
      </c>
      <c r="F46" s="28">
        <f>SUM(F45:F45)</f>
        <v>0</v>
      </c>
      <c r="G46" s="28">
        <f>SUM(G45:G45)</f>
        <v>19883.89</v>
      </c>
      <c r="H46" s="138">
        <f>(H45*G45)</f>
        <v>5965.1669999999995</v>
      </c>
      <c r="I46" s="138">
        <f>SUM(I45:I45)</f>
        <v>22019.979999999996</v>
      </c>
      <c r="J46" s="136"/>
      <c r="K46" s="64"/>
      <c r="M46" s="234"/>
      <c r="N46" s="234"/>
      <c r="O46" s="336"/>
    </row>
    <row r="47" spans="2:15" ht="15.75" customHeight="1">
      <c r="B47" s="7"/>
      <c r="C47" s="16"/>
      <c r="D47" s="30"/>
      <c r="E47" s="30"/>
      <c r="F47" s="30"/>
      <c r="G47" s="30"/>
      <c r="H47" s="30"/>
      <c r="I47" s="30"/>
      <c r="J47" s="16"/>
      <c r="K47" s="237"/>
      <c r="M47" s="234"/>
      <c r="N47" s="234"/>
    </row>
    <row r="48" spans="2:15" ht="15.75" customHeight="1">
      <c r="B48" s="7"/>
      <c r="C48" s="16"/>
      <c r="D48" s="30"/>
      <c r="E48" s="30"/>
      <c r="F48" s="30"/>
      <c r="G48" s="30"/>
      <c r="H48" s="30"/>
      <c r="I48" s="30"/>
      <c r="J48" s="16"/>
      <c r="K48" s="237"/>
      <c r="M48" s="234"/>
    </row>
    <row r="49" spans="2:11" ht="63.75" customHeight="1">
      <c r="B49" s="118" t="s">
        <v>423</v>
      </c>
      <c r="C49" s="21"/>
      <c r="D49" s="37"/>
      <c r="E49" s="37"/>
      <c r="F49" s="37"/>
      <c r="G49" s="139">
        <f>D49</f>
        <v>0</v>
      </c>
      <c r="H49" s="152"/>
      <c r="I49" s="37"/>
      <c r="J49" s="143"/>
      <c r="K49" s="64"/>
    </row>
    <row r="50" spans="2:11" ht="69.75" customHeight="1">
      <c r="B50" s="118" t="s">
        <v>421</v>
      </c>
      <c r="C50" s="21"/>
      <c r="D50" s="37"/>
      <c r="E50" s="37"/>
      <c r="F50" s="37"/>
      <c r="G50" s="139">
        <f t="shared" ref="G50:G52" si="2">D50</f>
        <v>0</v>
      </c>
      <c r="H50" s="152"/>
      <c r="I50" s="37"/>
      <c r="J50" s="143"/>
      <c r="K50" s="64"/>
    </row>
    <row r="51" spans="2:11" ht="57" customHeight="1">
      <c r="B51" s="118" t="s">
        <v>424</v>
      </c>
      <c r="C51" s="144"/>
      <c r="D51" s="37">
        <v>4000</v>
      </c>
      <c r="E51" s="37"/>
      <c r="F51" s="37"/>
      <c r="G51" s="139">
        <f t="shared" si="2"/>
        <v>4000</v>
      </c>
      <c r="H51" s="152">
        <v>0.3</v>
      </c>
      <c r="I51" s="37"/>
      <c r="J51" s="143"/>
      <c r="K51" s="64"/>
    </row>
    <row r="52" spans="2:11" ht="65.25" customHeight="1">
      <c r="B52" s="145" t="s">
        <v>428</v>
      </c>
      <c r="C52" s="21"/>
      <c r="D52" s="37">
        <v>20000</v>
      </c>
      <c r="E52" s="37"/>
      <c r="F52" s="37"/>
      <c r="G52" s="139">
        <f t="shared" si="2"/>
        <v>20000</v>
      </c>
      <c r="H52" s="152">
        <v>0.3</v>
      </c>
      <c r="I52" s="37"/>
      <c r="J52" s="143"/>
      <c r="K52" s="64"/>
    </row>
    <row r="53" spans="2:11" ht="21.75" customHeight="1">
      <c r="B53" s="7"/>
      <c r="C53" s="146" t="s">
        <v>422</v>
      </c>
      <c r="D53" s="155">
        <f>SUM(D49:D52)</f>
        <v>24000</v>
      </c>
      <c r="E53" s="155">
        <f t="shared" ref="E53:F53" si="3">SUM(E49:E52)</f>
        <v>0</v>
      </c>
      <c r="F53" s="155">
        <f t="shared" si="3"/>
        <v>0</v>
      </c>
      <c r="G53" s="155">
        <f>SUM(G49:G52)</f>
        <v>24000</v>
      </c>
      <c r="H53" s="138">
        <f>(H49*G49)+(H50*G50)+(H51*G51)+(H52*G52)</f>
        <v>7200</v>
      </c>
      <c r="I53" s="138">
        <f>SUM(I49:I52)</f>
        <v>0</v>
      </c>
      <c r="J53" s="21"/>
      <c r="K53" s="19"/>
    </row>
    <row r="54" spans="2:11" ht="15.75" customHeight="1">
      <c r="B54" s="7"/>
      <c r="C54" s="16"/>
      <c r="D54" s="30"/>
      <c r="E54" s="30"/>
      <c r="F54" s="30"/>
      <c r="G54" s="30"/>
      <c r="H54" s="30"/>
      <c r="I54" s="30"/>
      <c r="J54" s="16"/>
      <c r="K54" s="19"/>
    </row>
    <row r="55" spans="2:11" ht="15.75" customHeight="1">
      <c r="B55" s="7"/>
      <c r="C55" s="16"/>
      <c r="D55" s="30"/>
      <c r="E55" s="30"/>
      <c r="F55" s="30"/>
      <c r="G55" s="30"/>
      <c r="H55" s="30"/>
      <c r="I55" s="30"/>
      <c r="J55" s="16"/>
      <c r="K55" s="19"/>
    </row>
    <row r="56" spans="2:11" ht="15.75" customHeight="1">
      <c r="B56" s="7"/>
      <c r="C56" s="16"/>
      <c r="D56" s="30"/>
      <c r="E56" s="30"/>
      <c r="F56" s="30"/>
      <c r="G56" s="30"/>
      <c r="H56" s="30"/>
      <c r="I56" s="30"/>
      <c r="J56" s="16"/>
      <c r="K56" s="19"/>
    </row>
    <row r="57" spans="2:11" ht="15.75" customHeight="1">
      <c r="B57" s="7"/>
      <c r="C57" s="16"/>
      <c r="D57" s="30"/>
      <c r="E57" s="30"/>
      <c r="F57" s="30"/>
      <c r="G57" s="30"/>
      <c r="H57" s="30"/>
      <c r="I57" s="30"/>
      <c r="J57" s="16"/>
      <c r="K57" s="19"/>
    </row>
    <row r="58" spans="2:11" ht="15.75" customHeight="1">
      <c r="B58" s="7"/>
      <c r="C58" s="16"/>
      <c r="D58" s="30"/>
      <c r="E58" s="30"/>
      <c r="F58" s="30"/>
      <c r="G58" s="30"/>
      <c r="H58" s="30"/>
      <c r="I58" s="30"/>
      <c r="J58" s="16"/>
      <c r="K58" s="19"/>
    </row>
    <row r="59" spans="2:11" ht="15.75" customHeight="1">
      <c r="B59" s="7"/>
      <c r="C59" s="16"/>
      <c r="D59" s="30"/>
      <c r="E59" s="30"/>
      <c r="F59" s="30"/>
      <c r="G59" s="30"/>
      <c r="H59" s="30"/>
      <c r="I59" s="30"/>
      <c r="J59" s="16"/>
      <c r="K59" s="19"/>
    </row>
    <row r="60" spans="2:11" ht="15.75" customHeight="1" thickBot="1">
      <c r="B60" s="7"/>
      <c r="C60" s="16"/>
      <c r="D60" s="30"/>
      <c r="E60" s="30"/>
      <c r="F60" s="30"/>
      <c r="G60" s="30"/>
      <c r="H60" s="30"/>
      <c r="I60" s="30"/>
      <c r="J60" s="16"/>
      <c r="K60" s="19"/>
    </row>
    <row r="61" spans="2:11" ht="15.75">
      <c r="B61" s="7"/>
      <c r="C61" s="283" t="s">
        <v>17</v>
      </c>
      <c r="D61" s="284"/>
      <c r="E61" s="165"/>
      <c r="F61" s="165"/>
      <c r="G61" s="165"/>
      <c r="H61" s="19"/>
      <c r="I61" s="206"/>
      <c r="J61" s="19"/>
    </row>
    <row r="62" spans="2:11" ht="40.5" customHeight="1">
      <c r="B62" s="7"/>
      <c r="C62" s="279"/>
      <c r="D62" s="170" t="s">
        <v>429</v>
      </c>
      <c r="E62" s="166" t="s">
        <v>419</v>
      </c>
      <c r="F62" s="138" t="s">
        <v>420</v>
      </c>
      <c r="G62" s="281" t="s">
        <v>34</v>
      </c>
      <c r="H62" s="16"/>
      <c r="I62" s="30"/>
      <c r="J62" s="19"/>
    </row>
    <row r="63" spans="2:11" ht="24.75" customHeight="1">
      <c r="B63" s="7"/>
      <c r="C63" s="280"/>
      <c r="D63" s="171">
        <f>D13</f>
        <v>0</v>
      </c>
      <c r="E63" s="167">
        <f t="shared" ref="E63:F63" si="4">E13</f>
        <v>0</v>
      </c>
      <c r="F63" s="156">
        <f t="shared" si="4"/>
        <v>0</v>
      </c>
      <c r="G63" s="282"/>
      <c r="H63" s="16"/>
      <c r="I63" s="30"/>
      <c r="J63" s="19"/>
    </row>
    <row r="64" spans="2:11" ht="41.25" customHeight="1">
      <c r="B64" s="31"/>
      <c r="C64" s="140" t="s">
        <v>33</v>
      </c>
      <c r="D64" s="141">
        <f>SUM(D17,D20,D23,,D28,D32,D35,D40,D43,D46)</f>
        <v>424437.83</v>
      </c>
      <c r="E64" s="168" t="e">
        <f>SUM(E17,E20,E23,#REF!,E28,E32,E35,#REF!,E40,E43,E46,#REF!,#REF!,#REF!,#REF!,#REF!,E49,E50,E51)</f>
        <v>#REF!</v>
      </c>
      <c r="F64" s="119" t="e">
        <f>SUM(F17,F20,F23,#REF!,F28,F32,F35,#REF!,F40,F43,F46,#REF!,#REF!,#REF!,#REF!,#REF!,F49,F50,F51)</f>
        <v>#REF!</v>
      </c>
      <c r="G64" s="153" t="e">
        <f>SUM(D64:F64)</f>
        <v>#REF!</v>
      </c>
      <c r="H64" s="16"/>
      <c r="I64" s="30"/>
      <c r="J64" s="20"/>
    </row>
    <row r="65" spans="2:11" ht="51.75" customHeight="1">
      <c r="B65" s="5"/>
      <c r="C65" s="140" t="s">
        <v>7</v>
      </c>
      <c r="D65" s="141">
        <f>D64*0.07</f>
        <v>29710.648100000002</v>
      </c>
      <c r="E65" s="168" t="e">
        <f t="shared" ref="E65:F65" si="5">E64*0.07</f>
        <v>#REF!</v>
      </c>
      <c r="F65" s="119" t="e">
        <f t="shared" si="5"/>
        <v>#REF!</v>
      </c>
      <c r="G65" s="153" t="e">
        <f>G64*0.07</f>
        <v>#REF!</v>
      </c>
      <c r="H65" s="5"/>
      <c r="I65" s="207"/>
      <c r="J65" s="2"/>
    </row>
    <row r="66" spans="2:11" ht="51.75" customHeight="1" thickBot="1">
      <c r="B66" s="5"/>
      <c r="C66" s="39" t="s">
        <v>34</v>
      </c>
      <c r="D66" s="142">
        <f>SUM(D64:D65)</f>
        <v>454148.47810000001</v>
      </c>
      <c r="E66" s="169" t="e">
        <f t="shared" ref="E66:F66" si="6">SUM(E64:E65)</f>
        <v>#REF!</v>
      </c>
      <c r="F66" s="124" t="e">
        <f t="shared" si="6"/>
        <v>#REF!</v>
      </c>
      <c r="G66" s="124" t="e">
        <f>SUM(G64:G65)</f>
        <v>#REF!</v>
      </c>
      <c r="H66" s="5"/>
      <c r="I66" s="207"/>
      <c r="J66" s="2"/>
    </row>
    <row r="67" spans="2:11" ht="42" customHeight="1">
      <c r="B67" s="5"/>
      <c r="J67" s="4"/>
      <c r="K67" s="2"/>
    </row>
    <row r="68" spans="2:11" s="48" customFormat="1" ht="29.25" customHeight="1" thickBot="1">
      <c r="B68" s="16"/>
      <c r="C68" s="42"/>
      <c r="D68" s="43"/>
      <c r="E68" s="43"/>
      <c r="F68" s="43"/>
      <c r="G68" s="43"/>
      <c r="H68" s="43"/>
      <c r="I68" s="209"/>
      <c r="J68" s="19"/>
      <c r="K68" s="20"/>
    </row>
    <row r="69" spans="2:11" ht="23.25" customHeight="1">
      <c r="B69" s="2"/>
      <c r="C69" s="266" t="s">
        <v>27</v>
      </c>
      <c r="D69" s="267"/>
      <c r="E69" s="268"/>
      <c r="F69" s="268"/>
      <c r="G69" s="268"/>
      <c r="H69" s="269"/>
      <c r="I69" s="210"/>
      <c r="J69" s="2"/>
      <c r="K69" s="49"/>
    </row>
    <row r="70" spans="2:11" ht="41.25" customHeight="1">
      <c r="B70" s="2"/>
      <c r="C70" s="120"/>
      <c r="D70" s="121" t="s">
        <v>429</v>
      </c>
      <c r="E70" s="121" t="s">
        <v>419</v>
      </c>
      <c r="F70" s="121" t="s">
        <v>420</v>
      </c>
      <c r="G70" s="273" t="s">
        <v>34</v>
      </c>
      <c r="H70" s="275" t="s">
        <v>29</v>
      </c>
      <c r="I70" s="210"/>
      <c r="J70" s="2"/>
      <c r="K70" s="49"/>
    </row>
    <row r="71" spans="2:11" ht="27.75" customHeight="1">
      <c r="B71" s="2"/>
      <c r="C71" s="120"/>
      <c r="D71" s="121">
        <f>D13</f>
        <v>0</v>
      </c>
      <c r="E71" s="121">
        <f t="shared" ref="E71:F71" si="7">E13</f>
        <v>0</v>
      </c>
      <c r="F71" s="121">
        <f t="shared" si="7"/>
        <v>0</v>
      </c>
      <c r="G71" s="274"/>
      <c r="H71" s="276"/>
      <c r="I71" s="210"/>
      <c r="J71" s="2"/>
      <c r="K71" s="49"/>
    </row>
    <row r="72" spans="2:11" ht="55.5" customHeight="1">
      <c r="B72" s="2"/>
      <c r="C72" s="38" t="s">
        <v>28</v>
      </c>
      <c r="D72" s="122">
        <f>D66*H72</f>
        <v>158951.96733499999</v>
      </c>
      <c r="E72" s="123" t="e">
        <f>SUM(E64:E65)*0.7</f>
        <v>#REF!</v>
      </c>
      <c r="F72" s="123" t="e">
        <f>SUM(F64:F65)*0.7</f>
        <v>#REF!</v>
      </c>
      <c r="G72" s="123"/>
      <c r="H72" s="195">
        <v>0.35</v>
      </c>
      <c r="I72" s="206"/>
      <c r="J72" s="2"/>
      <c r="K72" s="49"/>
    </row>
    <row r="73" spans="2:11" ht="57.75" customHeight="1">
      <c r="B73" s="265"/>
      <c r="C73" s="147" t="s">
        <v>30</v>
      </c>
      <c r="D73" s="148">
        <f>D66*H73</f>
        <v>158951.96733499999</v>
      </c>
      <c r="E73" s="149" t="e">
        <f>SUM(E64:E65)*0.3</f>
        <v>#REF!</v>
      </c>
      <c r="F73" s="149" t="e">
        <f>SUM(F64:F65)*0.3</f>
        <v>#REF!</v>
      </c>
      <c r="G73" s="149"/>
      <c r="H73" s="196">
        <v>0.35</v>
      </c>
      <c r="I73" s="206"/>
      <c r="J73" s="49"/>
      <c r="K73" s="49"/>
    </row>
    <row r="74" spans="2:11" ht="57.75" customHeight="1">
      <c r="B74" s="265"/>
      <c r="C74" s="147" t="s">
        <v>430</v>
      </c>
      <c r="D74" s="148">
        <f>D66*H74</f>
        <v>136244.54342999999</v>
      </c>
      <c r="E74" s="149"/>
      <c r="F74" s="149"/>
      <c r="G74" s="149"/>
      <c r="H74" s="196">
        <v>0.3</v>
      </c>
      <c r="I74" s="206"/>
      <c r="J74" s="49"/>
      <c r="K74" s="49"/>
    </row>
    <row r="75" spans="2:11" ht="38.25" customHeight="1" thickBot="1">
      <c r="B75" s="265"/>
      <c r="C75" s="39" t="s">
        <v>427</v>
      </c>
      <c r="D75" s="124">
        <f>SUM(D72:D74)</f>
        <v>454148.47809999995</v>
      </c>
      <c r="E75" s="124" t="e">
        <f t="shared" ref="E75:F75" si="8">SUM(E72:E73)</f>
        <v>#REF!</v>
      </c>
      <c r="F75" s="124" t="e">
        <f t="shared" si="8"/>
        <v>#REF!</v>
      </c>
      <c r="G75" s="125"/>
      <c r="H75" s="126"/>
      <c r="I75" s="211"/>
      <c r="J75" s="49"/>
      <c r="K75" s="49"/>
    </row>
    <row r="76" spans="2:11" ht="21.75" customHeight="1" thickBot="1">
      <c r="B76" s="265"/>
      <c r="C76" s="3"/>
      <c r="D76" s="12"/>
      <c r="E76" s="12"/>
      <c r="F76" s="12"/>
      <c r="G76" s="12"/>
      <c r="H76" s="12"/>
      <c r="I76" s="212"/>
      <c r="J76" s="49"/>
      <c r="K76" s="49"/>
    </row>
    <row r="77" spans="2:11" ht="49.5" customHeight="1">
      <c r="B77" s="265"/>
      <c r="C77" s="127" t="s">
        <v>447</v>
      </c>
      <c r="D77" s="128">
        <f>SUM(H17,H20,H23,H28,H32,H35,H40,H43,H46,H53)*1.07</f>
        <v>205461.67927000002</v>
      </c>
      <c r="E77" s="43"/>
      <c r="F77" s="43"/>
      <c r="G77" s="43"/>
      <c r="H77" s="218" t="s">
        <v>449</v>
      </c>
      <c r="I77" s="219">
        <f>SUM(I53,I46,I43,I40,I35,I32,I28,I23,I20,I17)</f>
        <v>424320.12999999995</v>
      </c>
      <c r="J77" s="238"/>
      <c r="K77" s="239"/>
    </row>
    <row r="78" spans="2:11" ht="28.5" customHeight="1" thickBot="1">
      <c r="B78" s="265"/>
      <c r="C78" s="129" t="s">
        <v>14</v>
      </c>
      <c r="D78" s="202">
        <f>D77/D66</f>
        <v>0.45241080654851151</v>
      </c>
      <c r="E78" s="54"/>
      <c r="F78" s="54"/>
      <c r="G78" s="54"/>
      <c r="H78" s="220" t="s">
        <v>450</v>
      </c>
      <c r="I78" s="221">
        <f>I77/D64</f>
        <v>0.99972269201357455</v>
      </c>
      <c r="J78" s="49"/>
      <c r="K78" s="239"/>
    </row>
    <row r="79" spans="2:11" ht="28.5" customHeight="1">
      <c r="B79" s="265"/>
      <c r="C79" s="277"/>
      <c r="D79" s="278"/>
      <c r="E79" s="55"/>
      <c r="F79" s="55"/>
      <c r="G79" s="55"/>
      <c r="J79" s="49"/>
      <c r="K79" s="49"/>
    </row>
    <row r="80" spans="2:11" ht="28.5" customHeight="1">
      <c r="B80" s="265"/>
      <c r="C80" s="129" t="s">
        <v>446</v>
      </c>
      <c r="D80" s="130">
        <f>SUM(D51:F52)*1.07</f>
        <v>25680</v>
      </c>
      <c r="E80" s="56"/>
      <c r="F80" s="56"/>
      <c r="G80" s="56"/>
      <c r="J80" s="49"/>
      <c r="K80" s="238"/>
    </row>
    <row r="81" spans="1:11" ht="23.25" customHeight="1">
      <c r="B81" s="265"/>
      <c r="C81" s="129" t="s">
        <v>15</v>
      </c>
      <c r="D81" s="202">
        <f>D80/D66</f>
        <v>5.654538380803615E-2</v>
      </c>
      <c r="E81" s="56"/>
      <c r="F81" s="56"/>
      <c r="G81" s="56"/>
      <c r="J81" s="49"/>
      <c r="K81" s="49"/>
    </row>
    <row r="82" spans="1:11" ht="68.25" customHeight="1" thickBot="1">
      <c r="B82" s="265"/>
      <c r="C82" s="270" t="s">
        <v>443</v>
      </c>
      <c r="D82" s="271"/>
      <c r="E82" s="44"/>
      <c r="F82" s="44"/>
      <c r="G82" s="44"/>
      <c r="H82" s="49"/>
      <c r="I82" s="213"/>
      <c r="J82" s="49"/>
      <c r="K82" s="49"/>
    </row>
    <row r="83" spans="1:11" ht="55.5" customHeight="1">
      <c r="B83" s="265"/>
      <c r="K83" s="48"/>
    </row>
    <row r="84" spans="1:11" ht="115.5" customHeight="1">
      <c r="B84" s="265"/>
      <c r="C84" s="242" t="s">
        <v>467</v>
      </c>
      <c r="J84" s="49"/>
    </row>
    <row r="85" spans="1:11" ht="21.75" customHeight="1">
      <c r="B85" s="265"/>
      <c r="J85" s="49"/>
    </row>
    <row r="86" spans="1:11" ht="53.25" customHeight="1">
      <c r="A86" s="49"/>
      <c r="B86" s="265"/>
      <c r="C86" s="242" t="s">
        <v>468</v>
      </c>
    </row>
    <row r="87" spans="1:11" s="49" customFormat="1" ht="23.25" customHeight="1">
      <c r="A87" s="47"/>
      <c r="B87" s="265"/>
      <c r="C87" s="47"/>
      <c r="D87" s="47"/>
      <c r="E87" s="47"/>
      <c r="F87" s="47"/>
      <c r="G87" s="47"/>
      <c r="H87" s="47"/>
      <c r="I87" s="208"/>
      <c r="J87" s="47"/>
      <c r="K87" s="47"/>
    </row>
    <row r="88" spans="1:11" ht="23.25" customHeight="1"/>
    <row r="89" spans="1:11" ht="21.75" customHeight="1"/>
    <row r="90" spans="1:11" ht="16.5" customHeight="1"/>
    <row r="91" spans="1:11" ht="29.25" customHeight="1"/>
    <row r="92" spans="1:11" ht="24.75" customHeight="1"/>
    <row r="93" spans="1:11" ht="33" customHeight="1"/>
    <row r="95" spans="1:11" ht="15" customHeight="1"/>
    <row r="96" spans="1:11" ht="25.5" customHeight="1"/>
  </sheetData>
  <sheetProtection formatCells="0" formatColumns="0" formatRows="0"/>
  <mergeCells count="24">
    <mergeCell ref="B73:B87"/>
    <mergeCell ref="C69:H69"/>
    <mergeCell ref="C82:D82"/>
    <mergeCell ref="C33:J33"/>
    <mergeCell ref="C37:J37"/>
    <mergeCell ref="G70:G71"/>
    <mergeCell ref="H70:H71"/>
    <mergeCell ref="C79:D79"/>
    <mergeCell ref="C62:C63"/>
    <mergeCell ref="G62:G63"/>
    <mergeCell ref="C61:D61"/>
    <mergeCell ref="C38:J38"/>
    <mergeCell ref="C41:J41"/>
    <mergeCell ref="C44:J44"/>
    <mergeCell ref="C25:J25"/>
    <mergeCell ref="C26:J26"/>
    <mergeCell ref="C29:J29"/>
    <mergeCell ref="B2:E2"/>
    <mergeCell ref="B9:H9"/>
    <mergeCell ref="C18:J18"/>
    <mergeCell ref="C15:J15"/>
    <mergeCell ref="C21:J21"/>
    <mergeCell ref="C14:J14"/>
    <mergeCell ref="B6:M6"/>
  </mergeCells>
  <conditionalFormatting sqref="D78">
    <cfRule type="cellIs" dxfId="26" priority="47" operator="lessThan">
      <formula>0.15</formula>
    </cfRule>
  </conditionalFormatting>
  <conditionalFormatting sqref="D81">
    <cfRule type="cellIs" dxfId="25" priority="45" operator="lessThan">
      <formula>0.05</formula>
    </cfRule>
  </conditionalFormatting>
  <dataValidations xWindow="431" yWindow="475" count="7">
    <dataValidation allowBlank="1" showInputMessage="1" showErrorMessage="1" prompt="% Towards Gender Equality and Women's Empowerment Must be Higher than 15%&#10;" sqref="D78:G78"/>
    <dataValidation allowBlank="1" showInputMessage="1" showErrorMessage="1" prompt="M&amp;E Budget Cannot be Less than 5%&#10;" sqref="D81:G81"/>
    <dataValidation allowBlank="1" showErrorMessage="1" prompt="% Towards Gender Equality and Women's Empowerment Must be Higher than 15%&#10;" sqref="D80:G80"/>
    <dataValidation allowBlank="1" showInputMessage="1" showErrorMessage="1" prompt="Insert *text* description of Output here" sqref="C44 C41 C29 C33 C38 C26 C21 C15 C18"/>
    <dataValidation allowBlank="1" showInputMessage="1" showErrorMessage="1" prompt="Insert *text* description of Activity here" sqref="C45 C42 C30 C34 C39"/>
    <dataValidation allowBlank="1" showInputMessage="1" showErrorMessage="1" prompt="Insert *text* description of Outcome here" sqref="C37:J37 C25:J25 C14"/>
    <dataValidation allowBlank="1" showInputMessage="1" showErrorMessage="1" prompt="Insert name of recipient agency here &#10;" sqref="D13:G13"/>
  </dataValidations>
  <pageMargins left="0.7" right="0.7" top="0.75" bottom="0.75" header="0.3" footer="0.3"/>
  <pageSetup scale="74" orientation="landscape"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sheetPr>
    <tabColor theme="0"/>
  </sheetPr>
  <dimension ref="B1:N182"/>
  <sheetViews>
    <sheetView showGridLines="0" showZeros="0" topLeftCell="A115" zoomScale="60" zoomScaleNormal="60" workbookViewId="0">
      <selection activeCell="J35" sqref="J35"/>
    </sheetView>
  </sheetViews>
  <sheetFormatPr defaultColWidth="9.140625" defaultRowHeight="15.75"/>
  <cols>
    <col min="1" max="1" width="4.42578125" style="67" customWidth="1"/>
    <col min="2" max="2" width="3.28515625" style="67" customWidth="1"/>
    <col min="3" max="3" width="51.42578125" style="67" customWidth="1"/>
    <col min="4" max="4" width="34.28515625" style="69" customWidth="1"/>
    <col min="5" max="5" width="35" style="69" hidden="1" customWidth="1"/>
    <col min="6" max="6" width="34" style="69" hidden="1" customWidth="1"/>
    <col min="7" max="7" width="25.7109375" style="67" hidden="1" customWidth="1"/>
    <col min="8" max="8" width="21.42578125" style="67" customWidth="1"/>
    <col min="9" max="9" width="16.85546875" style="67" customWidth="1"/>
    <col min="10" max="10" width="19.42578125" style="67" customWidth="1"/>
    <col min="11" max="11" width="19" style="67" customWidth="1"/>
    <col min="12" max="12" width="26" style="67" customWidth="1"/>
    <col min="13" max="13" width="21.140625" style="67" customWidth="1"/>
    <col min="14" max="14" width="7" style="71" customWidth="1"/>
    <col min="15" max="15" width="24.28515625" style="67" customWidth="1"/>
    <col min="16" max="16" width="26.42578125" style="67" customWidth="1"/>
    <col min="17" max="17" width="30.140625" style="67" customWidth="1"/>
    <col min="18" max="18" width="33" style="67" customWidth="1"/>
    <col min="19" max="20" width="22.7109375" style="67" customWidth="1"/>
    <col min="21" max="21" width="23.42578125" style="67" customWidth="1"/>
    <col min="22" max="22" width="32.140625" style="67" customWidth="1"/>
    <col min="23" max="23" width="9.140625" style="67"/>
    <col min="24" max="24" width="17.7109375" style="67" customWidth="1"/>
    <col min="25" max="25" width="26.42578125" style="67" customWidth="1"/>
    <col min="26" max="26" width="22.42578125" style="67" customWidth="1"/>
    <col min="27" max="27" width="29.7109375" style="67" customWidth="1"/>
    <col min="28" max="28" width="23.42578125" style="67" customWidth="1"/>
    <col min="29" max="29" width="18.42578125" style="67" customWidth="1"/>
    <col min="30" max="30" width="17.42578125" style="67" customWidth="1"/>
    <col min="31" max="31" width="25.140625" style="67" customWidth="1"/>
    <col min="32" max="16384" width="9.140625" style="67"/>
  </cols>
  <sheetData>
    <row r="1" spans="2:14" ht="24" customHeight="1">
      <c r="L1" s="27"/>
      <c r="M1" s="6"/>
      <c r="N1" s="67"/>
    </row>
    <row r="2" spans="2:14" ht="46.5">
      <c r="C2" s="249" t="s">
        <v>417</v>
      </c>
      <c r="D2" s="249"/>
      <c r="E2" s="249"/>
      <c r="F2" s="249"/>
      <c r="G2" s="45"/>
      <c r="H2" s="46"/>
      <c r="I2" s="46"/>
      <c r="L2" s="27"/>
      <c r="M2" s="6"/>
      <c r="N2" s="67"/>
    </row>
    <row r="3" spans="2:14" ht="24" customHeight="1">
      <c r="C3" s="50"/>
      <c r="D3" s="47"/>
      <c r="E3" s="47"/>
      <c r="F3" s="47"/>
      <c r="G3" s="47"/>
      <c r="H3" s="47"/>
      <c r="I3" s="47"/>
      <c r="L3" s="27"/>
      <c r="M3" s="6"/>
      <c r="N3" s="67"/>
    </row>
    <row r="4" spans="2:14" ht="24" customHeight="1" thickBot="1">
      <c r="C4" s="50"/>
      <c r="D4" s="47"/>
      <c r="E4" s="47"/>
      <c r="F4" s="47"/>
      <c r="G4" s="47"/>
      <c r="H4" s="47"/>
      <c r="I4" s="47"/>
      <c r="L4" s="27"/>
      <c r="M4" s="6"/>
      <c r="N4" s="67"/>
    </row>
    <row r="5" spans="2:14" ht="30" customHeight="1">
      <c r="C5" s="294" t="s">
        <v>13</v>
      </c>
      <c r="D5" s="295"/>
      <c r="E5" s="295"/>
      <c r="F5" s="295"/>
      <c r="G5" s="296"/>
      <c r="H5" s="159"/>
      <c r="I5" s="159"/>
      <c r="J5" s="160"/>
      <c r="K5" s="6"/>
      <c r="N5" s="67"/>
    </row>
    <row r="6" spans="2:14" ht="24" customHeight="1">
      <c r="C6" s="297" t="s">
        <v>418</v>
      </c>
      <c r="D6" s="298"/>
      <c r="E6" s="298"/>
      <c r="F6" s="298"/>
      <c r="G6" s="298"/>
      <c r="H6" s="298"/>
      <c r="I6" s="298"/>
      <c r="J6" s="299"/>
      <c r="K6" s="6"/>
      <c r="N6" s="67"/>
    </row>
    <row r="7" spans="2:14" ht="24" customHeight="1">
      <c r="C7" s="297"/>
      <c r="D7" s="298"/>
      <c r="E7" s="298"/>
      <c r="F7" s="298"/>
      <c r="G7" s="298"/>
      <c r="H7" s="298"/>
      <c r="I7" s="298"/>
      <c r="J7" s="299"/>
      <c r="K7" s="6"/>
      <c r="N7" s="67"/>
    </row>
    <row r="8" spans="2:14" ht="24" customHeight="1">
      <c r="C8" s="297"/>
      <c r="D8" s="298"/>
      <c r="E8" s="298"/>
      <c r="F8" s="298"/>
      <c r="G8" s="298"/>
      <c r="H8" s="298"/>
      <c r="I8" s="298"/>
      <c r="J8" s="299"/>
      <c r="K8" s="6"/>
      <c r="N8" s="67"/>
    </row>
    <row r="9" spans="2:14" ht="24" customHeight="1" thickBot="1">
      <c r="C9" s="300"/>
      <c r="D9" s="301"/>
      <c r="E9" s="301"/>
      <c r="F9" s="301"/>
      <c r="G9" s="301"/>
      <c r="H9" s="301"/>
      <c r="I9" s="301"/>
      <c r="J9" s="302"/>
      <c r="L9" s="27"/>
      <c r="M9" s="6"/>
      <c r="N9" s="67"/>
    </row>
    <row r="10" spans="2:14" ht="24" customHeight="1" thickBot="1">
      <c r="C10" s="163"/>
      <c r="D10" s="161"/>
      <c r="E10" s="161"/>
      <c r="F10" s="161"/>
      <c r="G10" s="162"/>
      <c r="H10" s="162"/>
      <c r="I10" s="162"/>
      <c r="J10" s="162"/>
      <c r="L10" s="27"/>
      <c r="M10" s="6"/>
      <c r="N10" s="67"/>
    </row>
    <row r="11" spans="2:14" ht="24" customHeight="1" thickBot="1">
      <c r="C11" s="285" t="s">
        <v>52</v>
      </c>
      <c r="D11" s="286"/>
      <c r="E11" s="286"/>
      <c r="F11" s="287"/>
      <c r="H11" s="164"/>
      <c r="L11" s="27"/>
      <c r="M11" s="6"/>
      <c r="N11" s="67"/>
    </row>
    <row r="12" spans="2:14" ht="24" customHeight="1">
      <c r="C12" s="60"/>
      <c r="D12" s="60"/>
      <c r="E12" s="60"/>
      <c r="F12" s="60"/>
      <c r="L12" s="27"/>
      <c r="M12" s="6"/>
      <c r="N12" s="67"/>
    </row>
    <row r="13" spans="2:14" ht="24" customHeight="1">
      <c r="C13" s="60"/>
      <c r="D13" s="131" t="s">
        <v>431</v>
      </c>
      <c r="E13" s="131" t="s">
        <v>53</v>
      </c>
      <c r="F13" s="131" t="s">
        <v>54</v>
      </c>
      <c r="G13" s="292" t="s">
        <v>34</v>
      </c>
      <c r="L13" s="27"/>
      <c r="M13" s="6"/>
      <c r="N13" s="67"/>
    </row>
    <row r="14" spans="2:14" ht="24" customHeight="1">
      <c r="C14" s="60"/>
      <c r="D14" s="132">
        <f>'1) Budget Tables'!D13</f>
        <v>0</v>
      </c>
      <c r="E14" s="132">
        <f>'1) Budget Tables'!E13</f>
        <v>0</v>
      </c>
      <c r="F14" s="132">
        <f>'1) Budget Tables'!F13</f>
        <v>0</v>
      </c>
      <c r="G14" s="293"/>
      <c r="L14" s="27"/>
      <c r="M14" s="6"/>
      <c r="N14" s="67"/>
    </row>
    <row r="15" spans="2:14" ht="24" customHeight="1">
      <c r="B15" s="288" t="s">
        <v>62</v>
      </c>
      <c r="C15" s="288"/>
      <c r="D15" s="288"/>
      <c r="E15" s="288"/>
      <c r="F15" s="288"/>
      <c r="G15" s="288"/>
      <c r="L15" s="27"/>
      <c r="M15" s="6"/>
      <c r="N15" s="67"/>
    </row>
    <row r="16" spans="2:14" ht="22.5" customHeight="1">
      <c r="C16" s="288" t="s">
        <v>59</v>
      </c>
      <c r="D16" s="288"/>
      <c r="E16" s="288"/>
      <c r="F16" s="288"/>
      <c r="G16" s="288"/>
      <c r="L16" s="27"/>
      <c r="M16" s="6"/>
      <c r="N16" s="67"/>
    </row>
    <row r="17" spans="3:14" ht="24.75" customHeight="1" thickBot="1">
      <c r="C17" s="79" t="s">
        <v>58</v>
      </c>
      <c r="D17" s="80">
        <f>'1) Budget Tables'!D17</f>
        <v>68897.179999999993</v>
      </c>
      <c r="E17" s="80">
        <f>'1) Budget Tables'!E17</f>
        <v>0</v>
      </c>
      <c r="F17" s="80">
        <f>'1) Budget Tables'!F17</f>
        <v>0</v>
      </c>
      <c r="G17" s="81">
        <f>SUM(D17:F17)</f>
        <v>68897.179999999993</v>
      </c>
      <c r="L17" s="27"/>
      <c r="M17" s="6"/>
      <c r="N17" s="67"/>
    </row>
    <row r="18" spans="3:14" ht="21.75" customHeight="1">
      <c r="C18" s="77" t="s">
        <v>8</v>
      </c>
      <c r="D18" s="115">
        <f>27247.4+3565</f>
        <v>30812.400000000001</v>
      </c>
      <c r="E18" s="116"/>
      <c r="F18" s="116"/>
      <c r="G18" s="78">
        <f t="shared" ref="G18:G25" si="0">SUM(D18:F18)</f>
        <v>30812.400000000001</v>
      </c>
      <c r="N18" s="67"/>
    </row>
    <row r="19" spans="3:14">
      <c r="C19" s="65" t="s">
        <v>9</v>
      </c>
      <c r="D19" s="117">
        <v>122.56</v>
      </c>
      <c r="E19" s="24"/>
      <c r="F19" s="24"/>
      <c r="G19" s="76">
        <f t="shared" si="0"/>
        <v>122.56</v>
      </c>
      <c r="N19" s="67"/>
    </row>
    <row r="20" spans="3:14" ht="15.75" customHeight="1">
      <c r="C20" s="65" t="s">
        <v>10</v>
      </c>
      <c r="D20" s="117">
        <v>476.67</v>
      </c>
      <c r="E20" s="117"/>
      <c r="F20" s="117"/>
      <c r="G20" s="76">
        <f t="shared" si="0"/>
        <v>476.67</v>
      </c>
      <c r="N20" s="67"/>
    </row>
    <row r="21" spans="3:14">
      <c r="C21" s="66" t="s">
        <v>11</v>
      </c>
      <c r="D21" s="117">
        <f>1400+3840.15</f>
        <v>5240.1499999999996</v>
      </c>
      <c r="E21" s="117"/>
      <c r="F21" s="117"/>
      <c r="G21" s="76">
        <f t="shared" si="0"/>
        <v>5240.1499999999996</v>
      </c>
      <c r="N21" s="67"/>
    </row>
    <row r="22" spans="3:14">
      <c r="C22" s="65" t="s">
        <v>16</v>
      </c>
      <c r="D22" s="117">
        <f>23417.23+6709.85</f>
        <v>30127.08</v>
      </c>
      <c r="E22" s="117"/>
      <c r="F22" s="117"/>
      <c r="G22" s="76">
        <f t="shared" si="0"/>
        <v>30127.08</v>
      </c>
      <c r="N22" s="67"/>
    </row>
    <row r="23" spans="3:14" ht="21.75" customHeight="1">
      <c r="C23" s="65" t="s">
        <v>12</v>
      </c>
      <c r="D23" s="117">
        <v>0</v>
      </c>
      <c r="E23" s="117"/>
      <c r="F23" s="117"/>
      <c r="G23" s="76">
        <f t="shared" si="0"/>
        <v>0</v>
      </c>
      <c r="N23" s="67"/>
    </row>
    <row r="24" spans="3:14" ht="21.75" customHeight="1">
      <c r="C24" s="65" t="s">
        <v>57</v>
      </c>
      <c r="D24" s="117">
        <v>2118.3200000000002</v>
      </c>
      <c r="E24" s="117"/>
      <c r="F24" s="117"/>
      <c r="G24" s="76">
        <f t="shared" si="0"/>
        <v>2118.3200000000002</v>
      </c>
      <c r="N24" s="67"/>
    </row>
    <row r="25" spans="3:14" ht="15.75" customHeight="1">
      <c r="C25" s="70" t="s">
        <v>60</v>
      </c>
      <c r="D25" s="82">
        <f>SUM(D18:D24)</f>
        <v>68897.180000000008</v>
      </c>
      <c r="E25" s="82">
        <f>SUM(E18:E24)</f>
        <v>0</v>
      </c>
      <c r="F25" s="82">
        <f t="shared" ref="F25" si="1">SUM(F18:F24)</f>
        <v>0</v>
      </c>
      <c r="G25" s="157">
        <f t="shared" si="0"/>
        <v>68897.180000000008</v>
      </c>
      <c r="J25" s="232"/>
      <c r="N25" s="67"/>
    </row>
    <row r="26" spans="3:14" s="69" customFormat="1">
      <c r="C26" s="83"/>
      <c r="D26" s="84"/>
      <c r="E26" s="84"/>
      <c r="F26" s="84"/>
      <c r="G26" s="158"/>
    </row>
    <row r="27" spans="3:14">
      <c r="C27" s="288" t="s">
        <v>63</v>
      </c>
      <c r="D27" s="288"/>
      <c r="E27" s="288"/>
      <c r="F27" s="288"/>
      <c r="G27" s="288"/>
      <c r="N27" s="67"/>
    </row>
    <row r="28" spans="3:14" ht="27" customHeight="1" thickBot="1">
      <c r="C28" s="79" t="s">
        <v>58</v>
      </c>
      <c r="D28" s="80">
        <f>'1) Budget Tables'!D20</f>
        <v>41193.68</v>
      </c>
      <c r="E28" s="80">
        <f>'1) Budget Tables'!E20</f>
        <v>0</v>
      </c>
      <c r="F28" s="80">
        <f>'1) Budget Tables'!F20</f>
        <v>0</v>
      </c>
      <c r="G28" s="81">
        <f t="shared" ref="G28:G36" si="2">SUM(D28:F28)</f>
        <v>41193.68</v>
      </c>
      <c r="N28" s="67"/>
    </row>
    <row r="29" spans="3:14">
      <c r="C29" s="77" t="s">
        <v>8</v>
      </c>
      <c r="D29" s="115">
        <f>27247.4+3565.57</f>
        <v>30812.97</v>
      </c>
      <c r="E29" s="116"/>
      <c r="F29" s="116"/>
      <c r="G29" s="78">
        <f t="shared" si="2"/>
        <v>30812.97</v>
      </c>
      <c r="N29" s="67"/>
    </row>
    <row r="30" spans="3:14">
      <c r="C30" s="65" t="s">
        <v>9</v>
      </c>
      <c r="D30" s="117">
        <v>122.56</v>
      </c>
      <c r="E30" s="24"/>
      <c r="F30" s="24"/>
      <c r="G30" s="76">
        <f t="shared" si="2"/>
        <v>122.56</v>
      </c>
      <c r="N30" s="67"/>
    </row>
    <row r="31" spans="3:14" ht="31.5">
      <c r="C31" s="65" t="s">
        <v>10</v>
      </c>
      <c r="D31" s="117">
        <f>468.27</f>
        <v>468.27</v>
      </c>
      <c r="E31" s="117"/>
      <c r="F31" s="117"/>
      <c r="G31" s="76">
        <f t="shared" si="2"/>
        <v>468.27</v>
      </c>
      <c r="N31" s="67"/>
    </row>
    <row r="32" spans="3:14">
      <c r="C32" s="66" t="s">
        <v>11</v>
      </c>
      <c r="D32" s="117">
        <f>1400+3847.97</f>
        <v>5247.9699999999993</v>
      </c>
      <c r="E32" s="117"/>
      <c r="F32" s="117"/>
      <c r="G32" s="76">
        <f t="shared" si="2"/>
        <v>5247.9699999999993</v>
      </c>
      <c r="N32" s="67"/>
    </row>
    <row r="33" spans="3:14">
      <c r="C33" s="65" t="s">
        <v>16</v>
      </c>
      <c r="D33" s="117">
        <v>2423.59</v>
      </c>
      <c r="E33" s="117"/>
      <c r="F33" s="117"/>
      <c r="G33" s="76">
        <f t="shared" si="2"/>
        <v>2423.59</v>
      </c>
      <c r="N33" s="67"/>
    </row>
    <row r="34" spans="3:14">
      <c r="C34" s="65" t="s">
        <v>12</v>
      </c>
      <c r="D34" s="117"/>
      <c r="E34" s="117"/>
      <c r="F34" s="117"/>
      <c r="G34" s="76">
        <f t="shared" si="2"/>
        <v>0</v>
      </c>
      <c r="N34" s="67"/>
    </row>
    <row r="35" spans="3:14">
      <c r="C35" s="65" t="s">
        <v>57</v>
      </c>
      <c r="D35" s="117">
        <v>2118.3200000000002</v>
      </c>
      <c r="E35" s="117"/>
      <c r="F35" s="117"/>
      <c r="G35" s="76">
        <f t="shared" si="2"/>
        <v>2118.3200000000002</v>
      </c>
      <c r="N35" s="67"/>
    </row>
    <row r="36" spans="3:14">
      <c r="C36" s="70" t="s">
        <v>60</v>
      </c>
      <c r="D36" s="82">
        <f t="shared" ref="D36:E36" si="3">SUM(D29:D35)</f>
        <v>41193.68</v>
      </c>
      <c r="E36" s="82">
        <f t="shared" si="3"/>
        <v>0</v>
      </c>
      <c r="F36" s="82">
        <f t="shared" ref="F36" si="4">SUM(F29:F35)</f>
        <v>0</v>
      </c>
      <c r="G36" s="76">
        <f t="shared" si="2"/>
        <v>41193.68</v>
      </c>
      <c r="I36" s="232">
        <f>+D28-D36</f>
        <v>0</v>
      </c>
      <c r="N36" s="67"/>
    </row>
    <row r="37" spans="3:14" s="69" customFormat="1">
      <c r="C37" s="83"/>
      <c r="D37" s="84"/>
      <c r="E37" s="84"/>
      <c r="F37" s="84"/>
      <c r="G37" s="85"/>
    </row>
    <row r="38" spans="3:14">
      <c r="C38" s="289" t="s">
        <v>64</v>
      </c>
      <c r="D38" s="290"/>
      <c r="E38" s="290"/>
      <c r="F38" s="290"/>
      <c r="G38" s="291"/>
      <c r="N38" s="67"/>
    </row>
    <row r="39" spans="3:14" ht="21.75" customHeight="1" thickBot="1">
      <c r="C39" s="79" t="s">
        <v>58</v>
      </c>
      <c r="D39" s="80">
        <f>'1) Budget Tables'!D23</f>
        <v>55261.46</v>
      </c>
      <c r="E39" s="80">
        <f>'1) Budget Tables'!E23</f>
        <v>0</v>
      </c>
      <c r="F39" s="80">
        <f>'1) Budget Tables'!F23</f>
        <v>0</v>
      </c>
      <c r="G39" s="81">
        <f t="shared" ref="G39:G47" si="5">SUM(D39:F39)</f>
        <v>55261.46</v>
      </c>
      <c r="N39" s="67"/>
    </row>
    <row r="40" spans="3:14">
      <c r="C40" s="77" t="s">
        <v>8</v>
      </c>
      <c r="D40" s="115">
        <f>27247.4+3565.57+3009.41</f>
        <v>33822.380000000005</v>
      </c>
      <c r="E40" s="116"/>
      <c r="F40" s="116"/>
      <c r="G40" s="78">
        <f t="shared" si="5"/>
        <v>33822.380000000005</v>
      </c>
      <c r="N40" s="67"/>
    </row>
    <row r="41" spans="3:14" s="69" customFormat="1" ht="15.75" customHeight="1">
      <c r="C41" s="65" t="s">
        <v>9</v>
      </c>
      <c r="D41" s="117">
        <v>122.56</v>
      </c>
      <c r="E41" s="24"/>
      <c r="F41" s="24"/>
      <c r="G41" s="76">
        <f t="shared" si="5"/>
        <v>122.56</v>
      </c>
    </row>
    <row r="42" spans="3:14" s="69" customFormat="1" ht="31.5">
      <c r="C42" s="65" t="s">
        <v>10</v>
      </c>
      <c r="D42" s="117">
        <v>468.27</v>
      </c>
      <c r="E42" s="117"/>
      <c r="F42" s="117"/>
      <c r="G42" s="76">
        <f t="shared" si="5"/>
        <v>468.27</v>
      </c>
    </row>
    <row r="43" spans="3:14" s="69" customFormat="1">
      <c r="C43" s="66" t="s">
        <v>11</v>
      </c>
      <c r="D43" s="117">
        <f>13573.33</f>
        <v>13573.33</v>
      </c>
      <c r="E43" s="117"/>
      <c r="F43" s="117"/>
      <c r="G43" s="76">
        <f t="shared" si="5"/>
        <v>13573.33</v>
      </c>
    </row>
    <row r="44" spans="3:14">
      <c r="C44" s="65" t="s">
        <v>16</v>
      </c>
      <c r="D44" s="117">
        <v>4828.59</v>
      </c>
      <c r="E44" s="117"/>
      <c r="F44" s="117"/>
      <c r="G44" s="76">
        <f t="shared" si="5"/>
        <v>4828.59</v>
      </c>
      <c r="N44" s="67"/>
    </row>
    <row r="45" spans="3:14">
      <c r="C45" s="65" t="s">
        <v>12</v>
      </c>
      <c r="D45" s="117"/>
      <c r="E45" s="117"/>
      <c r="F45" s="117"/>
      <c r="G45" s="76">
        <f t="shared" si="5"/>
        <v>0</v>
      </c>
      <c r="N45" s="67"/>
    </row>
    <row r="46" spans="3:14">
      <c r="C46" s="65" t="s">
        <v>57</v>
      </c>
      <c r="D46" s="117">
        <v>2446.33</v>
      </c>
      <c r="E46" s="117"/>
      <c r="F46" s="117"/>
      <c r="G46" s="76">
        <f t="shared" si="5"/>
        <v>2446.33</v>
      </c>
      <c r="N46" s="67"/>
    </row>
    <row r="47" spans="3:14">
      <c r="C47" s="70" t="s">
        <v>60</v>
      </c>
      <c r="D47" s="82">
        <f t="shared" ref="D47:E47" si="6">SUM(D40:D46)</f>
        <v>55261.460000000006</v>
      </c>
      <c r="E47" s="82">
        <f t="shared" si="6"/>
        <v>0</v>
      </c>
      <c r="F47" s="82">
        <f t="shared" ref="F47" si="7">SUM(F40:F46)</f>
        <v>0</v>
      </c>
      <c r="G47" s="76">
        <f t="shared" si="5"/>
        <v>55261.460000000006</v>
      </c>
      <c r="I47" s="232">
        <f>+D47-D39</f>
        <v>0</v>
      </c>
      <c r="N47" s="67"/>
    </row>
    <row r="48" spans="3:14" s="69" customFormat="1">
      <c r="C48" s="83"/>
      <c r="D48" s="84"/>
      <c r="E48" s="84"/>
      <c r="F48" s="84"/>
      <c r="G48" s="85"/>
    </row>
    <row r="49" spans="2:14" s="69" customFormat="1" ht="22.5" customHeight="1">
      <c r="C49" s="86"/>
      <c r="D49" s="84"/>
      <c r="E49" s="84"/>
      <c r="F49" s="84"/>
      <c r="G49" s="85"/>
    </row>
    <row r="50" spans="2:14">
      <c r="B50" s="289" t="s">
        <v>65</v>
      </c>
      <c r="C50" s="290"/>
      <c r="D50" s="290"/>
      <c r="E50" s="290"/>
      <c r="F50" s="290"/>
      <c r="G50" s="291"/>
      <c r="N50" s="67"/>
    </row>
    <row r="51" spans="2:14">
      <c r="C51" s="289" t="s">
        <v>66</v>
      </c>
      <c r="D51" s="290"/>
      <c r="E51" s="290"/>
      <c r="F51" s="290"/>
      <c r="G51" s="291"/>
      <c r="N51" s="67"/>
    </row>
    <row r="52" spans="2:14" ht="24" customHeight="1" thickBot="1">
      <c r="C52" s="79" t="s">
        <v>58</v>
      </c>
      <c r="D52" s="80">
        <f>'1) Budget Tables'!D28</f>
        <v>108258.86</v>
      </c>
      <c r="E52" s="80">
        <f>'1) Budget Tables'!E28</f>
        <v>0</v>
      </c>
      <c r="F52" s="80">
        <f>'1) Budget Tables'!F28</f>
        <v>0</v>
      </c>
      <c r="G52" s="81">
        <f>SUM(D52:F52)</f>
        <v>108258.86</v>
      </c>
      <c r="N52" s="67"/>
    </row>
    <row r="53" spans="2:14" ht="15.75" customHeight="1">
      <c r="C53" s="77" t="s">
        <v>8</v>
      </c>
      <c r="D53" s="115">
        <f>39221.78-3009.41</f>
        <v>36212.369999999995</v>
      </c>
      <c r="E53" s="116"/>
      <c r="F53" s="116"/>
      <c r="G53" s="78">
        <f t="shared" ref="G53:G60" si="8">SUM(D53:F53)</f>
        <v>36212.369999999995</v>
      </c>
      <c r="N53" s="67"/>
    </row>
    <row r="54" spans="2:14" ht="15.75" customHeight="1">
      <c r="C54" s="65" t="s">
        <v>9</v>
      </c>
      <c r="D54" s="117">
        <f>129.94+742.16</f>
        <v>872.09999999999991</v>
      </c>
      <c r="E54" s="24"/>
      <c r="F54" s="24"/>
      <c r="G54" s="76">
        <f t="shared" si="8"/>
        <v>872.09999999999991</v>
      </c>
      <c r="N54" s="67"/>
    </row>
    <row r="55" spans="2:14" ht="15.75" customHeight="1">
      <c r="C55" s="65" t="s">
        <v>10</v>
      </c>
      <c r="D55" s="117">
        <v>3670</v>
      </c>
      <c r="E55" s="117"/>
      <c r="F55" s="117"/>
      <c r="G55" s="76">
        <f t="shared" si="8"/>
        <v>3670</v>
      </c>
      <c r="N55" s="67"/>
    </row>
    <row r="56" spans="2:14" ht="18.75" customHeight="1">
      <c r="C56" s="66" t="s">
        <v>11</v>
      </c>
      <c r="D56" s="117">
        <f>8614.35-3291</f>
        <v>5323.35</v>
      </c>
      <c r="E56" s="117"/>
      <c r="F56" s="117"/>
      <c r="G56" s="76">
        <f t="shared" si="8"/>
        <v>5323.35</v>
      </c>
      <c r="N56" s="67"/>
    </row>
    <row r="57" spans="2:14">
      <c r="C57" s="65" t="s">
        <v>16</v>
      </c>
      <c r="D57" s="117">
        <f>3857.04+3300.41+5276.6</f>
        <v>12434.05</v>
      </c>
      <c r="E57" s="117"/>
      <c r="F57" s="117"/>
      <c r="G57" s="76">
        <f t="shared" si="8"/>
        <v>12434.05</v>
      </c>
      <c r="I57" s="232">
        <f>+D60-D52</f>
        <v>0</v>
      </c>
      <c r="N57" s="67"/>
    </row>
    <row r="58" spans="2:14" s="69" customFormat="1" ht="21.75" customHeight="1">
      <c r="B58" s="67"/>
      <c r="C58" s="65" t="s">
        <v>12</v>
      </c>
      <c r="D58" s="117"/>
      <c r="E58" s="117"/>
      <c r="F58" s="117"/>
      <c r="G58" s="76">
        <f t="shared" si="8"/>
        <v>0</v>
      </c>
    </row>
    <row r="59" spans="2:14" s="69" customFormat="1">
      <c r="B59" s="67"/>
      <c r="C59" s="65" t="s">
        <v>57</v>
      </c>
      <c r="D59" s="117">
        <f>53144.28-378.53-742.16+3000-5276.6</f>
        <v>49746.99</v>
      </c>
      <c r="E59" s="117"/>
      <c r="F59" s="117"/>
      <c r="G59" s="76">
        <f t="shared" si="8"/>
        <v>49746.99</v>
      </c>
    </row>
    <row r="60" spans="2:14">
      <c r="C60" s="70" t="s">
        <v>60</v>
      </c>
      <c r="D60" s="82">
        <f>SUM(D53:D59)</f>
        <v>108258.85999999999</v>
      </c>
      <c r="E60" s="82">
        <f>SUM(E53:E59)</f>
        <v>0</v>
      </c>
      <c r="F60" s="82">
        <f t="shared" ref="F60" si="9">SUM(F53:F59)</f>
        <v>0</v>
      </c>
      <c r="G60" s="76">
        <f t="shared" si="8"/>
        <v>108258.85999999999</v>
      </c>
      <c r="I60" s="232"/>
      <c r="N60" s="67"/>
    </row>
    <row r="61" spans="2:14" s="69" customFormat="1">
      <c r="C61" s="83"/>
      <c r="D61" s="84"/>
      <c r="E61" s="84"/>
      <c r="F61" s="84"/>
      <c r="G61" s="85"/>
    </row>
    <row r="62" spans="2:14">
      <c r="B62" s="69"/>
      <c r="C62" s="289" t="s">
        <v>37</v>
      </c>
      <c r="D62" s="290"/>
      <c r="E62" s="290"/>
      <c r="F62" s="290"/>
      <c r="G62" s="291"/>
      <c r="N62" s="67"/>
    </row>
    <row r="63" spans="2:14" ht="21.75" customHeight="1" thickBot="1">
      <c r="C63" s="79" t="s">
        <v>58</v>
      </c>
      <c r="D63" s="80">
        <f>'1) Budget Tables'!D32</f>
        <v>13833.38</v>
      </c>
      <c r="E63" s="80">
        <f>'1) Budget Tables'!E32</f>
        <v>0</v>
      </c>
      <c r="F63" s="80">
        <f>'1) Budget Tables'!F32</f>
        <v>0</v>
      </c>
      <c r="G63" s="81">
        <f t="shared" ref="G63:G71" si="10">SUM(D63:F63)</f>
        <v>13833.38</v>
      </c>
      <c r="N63" s="67"/>
    </row>
    <row r="64" spans="2:14" ht="15.75" customHeight="1">
      <c r="C64" s="77" t="s">
        <v>8</v>
      </c>
      <c r="D64" s="115">
        <f>3565.57+1358.98</f>
        <v>4924.55</v>
      </c>
      <c r="E64" s="116"/>
      <c r="F64" s="116"/>
      <c r="G64" s="78">
        <f t="shared" si="10"/>
        <v>4924.55</v>
      </c>
      <c r="N64" s="67"/>
    </row>
    <row r="65" spans="2:14" ht="15.75" customHeight="1">
      <c r="C65" s="65" t="s">
        <v>9</v>
      </c>
      <c r="D65" s="117">
        <v>129.94</v>
      </c>
      <c r="E65" s="24"/>
      <c r="F65" s="24"/>
      <c r="G65" s="76">
        <f t="shared" si="10"/>
        <v>129.94</v>
      </c>
      <c r="N65" s="67"/>
    </row>
    <row r="66" spans="2:14" ht="15.75" customHeight="1">
      <c r="C66" s="65" t="s">
        <v>10</v>
      </c>
      <c r="D66" s="117">
        <v>670.22</v>
      </c>
      <c r="E66" s="117"/>
      <c r="F66" s="117"/>
      <c r="G66" s="76">
        <f t="shared" si="10"/>
        <v>670.22</v>
      </c>
      <c r="N66" s="67"/>
    </row>
    <row r="67" spans="2:14">
      <c r="C67" s="66" t="s">
        <v>11</v>
      </c>
      <c r="D67" s="117">
        <v>173.79</v>
      </c>
      <c r="E67" s="117"/>
      <c r="F67" s="117"/>
      <c r="G67" s="76">
        <f t="shared" si="10"/>
        <v>173.79</v>
      </c>
      <c r="N67" s="67"/>
    </row>
    <row r="68" spans="2:14">
      <c r="C68" s="65" t="s">
        <v>16</v>
      </c>
      <c r="D68" s="117">
        <f>3857-809</f>
        <v>3048</v>
      </c>
      <c r="E68" s="117"/>
      <c r="F68" s="117"/>
      <c r="G68" s="76">
        <f t="shared" si="10"/>
        <v>3048</v>
      </c>
      <c r="N68" s="67"/>
    </row>
    <row r="69" spans="2:14">
      <c r="C69" s="65" t="s">
        <v>12</v>
      </c>
      <c r="D69" s="117"/>
      <c r="E69" s="117"/>
      <c r="F69" s="117"/>
      <c r="G69" s="76">
        <f t="shared" si="10"/>
        <v>0</v>
      </c>
      <c r="N69" s="67"/>
    </row>
    <row r="70" spans="2:14">
      <c r="C70" s="65" t="s">
        <v>57</v>
      </c>
      <c r="D70" s="117">
        <v>4886.88</v>
      </c>
      <c r="E70" s="117"/>
      <c r="F70" s="117"/>
      <c r="G70" s="76">
        <f t="shared" si="10"/>
        <v>4886.88</v>
      </c>
      <c r="N70" s="67"/>
    </row>
    <row r="71" spans="2:14">
      <c r="C71" s="70" t="s">
        <v>60</v>
      </c>
      <c r="D71" s="82">
        <f t="shared" ref="D71:E71" si="11">SUM(D64:D70)</f>
        <v>13833.380000000001</v>
      </c>
      <c r="E71" s="82">
        <f t="shared" si="11"/>
        <v>0</v>
      </c>
      <c r="F71" s="82">
        <f t="shared" ref="F71" si="12">SUM(F64:F70)</f>
        <v>0</v>
      </c>
      <c r="G71" s="76">
        <f t="shared" si="10"/>
        <v>13833.380000000001</v>
      </c>
      <c r="I71" s="232">
        <f>+D71-D63</f>
        <v>0</v>
      </c>
      <c r="J71" s="233"/>
      <c r="N71" s="67"/>
    </row>
    <row r="72" spans="2:14" s="69" customFormat="1">
      <c r="C72" s="83"/>
      <c r="D72" s="84"/>
      <c r="E72" s="84"/>
      <c r="F72" s="84"/>
      <c r="G72" s="85"/>
    </row>
    <row r="73" spans="2:14">
      <c r="C73" s="289" t="s">
        <v>40</v>
      </c>
      <c r="D73" s="290"/>
      <c r="E73" s="290"/>
      <c r="F73" s="290"/>
      <c r="G73" s="291"/>
      <c r="N73" s="67"/>
    </row>
    <row r="74" spans="2:14" ht="21.75" customHeight="1" thickBot="1">
      <c r="B74" s="69"/>
      <c r="C74" s="79" t="s">
        <v>58</v>
      </c>
      <c r="D74" s="80">
        <f>'1) Budget Tables'!D35</f>
        <v>42892.76</v>
      </c>
      <c r="E74" s="80">
        <f>'1) Budget Tables'!E35</f>
        <v>0</v>
      </c>
      <c r="F74" s="80">
        <f>'1) Budget Tables'!F35</f>
        <v>0</v>
      </c>
      <c r="G74" s="81">
        <f t="shared" ref="G74:G82" si="13">SUM(D74:F74)</f>
        <v>42892.76</v>
      </c>
      <c r="N74" s="67"/>
    </row>
    <row r="75" spans="2:14" ht="18" customHeight="1">
      <c r="C75" s="77" t="s">
        <v>8</v>
      </c>
      <c r="D75" s="115">
        <v>7131.13</v>
      </c>
      <c r="E75" s="116"/>
      <c r="F75" s="116"/>
      <c r="G75" s="78">
        <f t="shared" si="13"/>
        <v>7131.13</v>
      </c>
      <c r="N75" s="67"/>
    </row>
    <row r="76" spans="2:14" ht="15.75" customHeight="1">
      <c r="C76" s="65" t="s">
        <v>9</v>
      </c>
      <c r="D76" s="117">
        <v>129.94</v>
      </c>
      <c r="E76" s="24"/>
      <c r="F76" s="24"/>
      <c r="G76" s="76">
        <f t="shared" si="13"/>
        <v>129.94</v>
      </c>
      <c r="N76" s="67"/>
    </row>
    <row r="77" spans="2:14" s="69" customFormat="1" ht="15.75" customHeight="1">
      <c r="B77" s="67"/>
      <c r="C77" s="65" t="s">
        <v>10</v>
      </c>
      <c r="D77" s="117">
        <v>1223.3699999999999</v>
      </c>
      <c r="E77" s="117"/>
      <c r="F77" s="117"/>
      <c r="G77" s="76">
        <f t="shared" si="13"/>
        <v>1223.3699999999999</v>
      </c>
    </row>
    <row r="78" spans="2:14">
      <c r="B78" s="69"/>
      <c r="C78" s="66" t="s">
        <v>11</v>
      </c>
      <c r="D78" s="117">
        <v>2933.63</v>
      </c>
      <c r="E78" s="117"/>
      <c r="F78" s="117"/>
      <c r="G78" s="76">
        <f t="shared" si="13"/>
        <v>2933.63</v>
      </c>
      <c r="N78" s="67"/>
    </row>
    <row r="79" spans="2:14">
      <c r="B79" s="69"/>
      <c r="C79" s="65" t="s">
        <v>16</v>
      </c>
      <c r="D79" s="117"/>
      <c r="E79" s="117"/>
      <c r="F79" s="117"/>
      <c r="G79" s="76">
        <f t="shared" si="13"/>
        <v>0</v>
      </c>
      <c r="N79" s="67"/>
    </row>
    <row r="80" spans="2:14">
      <c r="B80" s="69"/>
      <c r="C80" s="65" t="s">
        <v>12</v>
      </c>
      <c r="D80" s="117"/>
      <c r="E80" s="117"/>
      <c r="F80" s="117"/>
      <c r="G80" s="76">
        <f t="shared" si="13"/>
        <v>0</v>
      </c>
      <c r="N80" s="67"/>
    </row>
    <row r="81" spans="2:14">
      <c r="C81" s="65" t="s">
        <v>57</v>
      </c>
      <c r="D81" s="117">
        <f>31673-198.31</f>
        <v>31474.69</v>
      </c>
      <c r="E81" s="117"/>
      <c r="F81" s="117"/>
      <c r="G81" s="76">
        <f t="shared" si="13"/>
        <v>31474.69</v>
      </c>
      <c r="N81" s="67"/>
    </row>
    <row r="82" spans="2:14">
      <c r="C82" s="70" t="s">
        <v>60</v>
      </c>
      <c r="D82" s="82">
        <f t="shared" ref="D82:E82" si="14">SUM(D75:D81)</f>
        <v>42892.759999999995</v>
      </c>
      <c r="E82" s="82">
        <f t="shared" si="14"/>
        <v>0</v>
      </c>
      <c r="F82" s="82">
        <f t="shared" ref="F82" si="15">SUM(F75:F81)</f>
        <v>0</v>
      </c>
      <c r="G82" s="76">
        <f t="shared" si="13"/>
        <v>42892.759999999995</v>
      </c>
      <c r="H82" s="232">
        <f>+D82-D74</f>
        <v>0</v>
      </c>
      <c r="I82" s="232"/>
      <c r="N82" s="67"/>
    </row>
    <row r="83" spans="2:14" s="69" customFormat="1">
      <c r="C83" s="83"/>
      <c r="D83" s="84"/>
      <c r="E83" s="84"/>
      <c r="F83" s="84"/>
      <c r="G83" s="85"/>
    </row>
    <row r="84" spans="2:14" ht="25.5" customHeight="1">
      <c r="D84" s="71"/>
      <c r="E84" s="71"/>
      <c r="F84" s="71"/>
      <c r="G84" s="71"/>
      <c r="N84" s="67"/>
    </row>
    <row r="85" spans="2:14">
      <c r="B85" s="289" t="s">
        <v>67</v>
      </c>
      <c r="C85" s="290"/>
      <c r="D85" s="290"/>
      <c r="E85" s="290"/>
      <c r="F85" s="290"/>
      <c r="G85" s="291"/>
      <c r="N85" s="67"/>
    </row>
    <row r="86" spans="2:14">
      <c r="C86" s="289" t="s">
        <v>43</v>
      </c>
      <c r="D86" s="290"/>
      <c r="E86" s="290"/>
      <c r="F86" s="290"/>
      <c r="G86" s="291"/>
      <c r="N86" s="67"/>
    </row>
    <row r="87" spans="2:14" ht="22.5" customHeight="1" thickBot="1">
      <c r="C87" s="79" t="s">
        <v>58</v>
      </c>
      <c r="D87" s="80">
        <f>'1) Budget Tables'!D40</f>
        <v>62778.13</v>
      </c>
      <c r="E87" s="80">
        <f>'1) Budget Tables'!E40</f>
        <v>0</v>
      </c>
      <c r="F87" s="80">
        <f>'1) Budget Tables'!F40</f>
        <v>0</v>
      </c>
      <c r="G87" s="81">
        <f>SUM(D87:F87)</f>
        <v>62778.13</v>
      </c>
      <c r="N87" s="67"/>
    </row>
    <row r="88" spans="2:14">
      <c r="C88" s="77" t="s">
        <v>8</v>
      </c>
      <c r="D88" s="115">
        <v>7131.13</v>
      </c>
      <c r="E88" s="116"/>
      <c r="F88" s="116"/>
      <c r="G88" s="78">
        <f t="shared" ref="G88:G95" si="16">SUM(D88:F88)</f>
        <v>7131.13</v>
      </c>
      <c r="N88" s="67"/>
    </row>
    <row r="89" spans="2:14">
      <c r="C89" s="65" t="s">
        <v>9</v>
      </c>
      <c r="D89" s="117"/>
      <c r="E89" s="24"/>
      <c r="F89" s="24"/>
      <c r="G89" s="76">
        <f t="shared" si="16"/>
        <v>0</v>
      </c>
      <c r="N89" s="67"/>
    </row>
    <row r="90" spans="2:14" ht="15.75" customHeight="1">
      <c r="C90" s="65" t="s">
        <v>10</v>
      </c>
      <c r="D90" s="117"/>
      <c r="E90" s="117"/>
      <c r="F90" s="117"/>
      <c r="G90" s="76">
        <f t="shared" si="16"/>
        <v>0</v>
      </c>
      <c r="N90" s="67"/>
    </row>
    <row r="91" spans="2:14">
      <c r="C91" s="66" t="s">
        <v>11</v>
      </c>
      <c r="D91" s="117">
        <v>1830.54</v>
      </c>
      <c r="E91" s="117"/>
      <c r="F91" s="117"/>
      <c r="G91" s="76">
        <f t="shared" si="16"/>
        <v>1830.54</v>
      </c>
      <c r="N91" s="67"/>
    </row>
    <row r="92" spans="2:14">
      <c r="C92" s="65" t="s">
        <v>16</v>
      </c>
      <c r="D92" s="117">
        <f>4821.31+1000</f>
        <v>5821.31</v>
      </c>
      <c r="E92" s="117"/>
      <c r="F92" s="117"/>
      <c r="G92" s="76">
        <f t="shared" si="16"/>
        <v>5821.31</v>
      </c>
      <c r="N92" s="67"/>
    </row>
    <row r="93" spans="2:14">
      <c r="C93" s="65" t="s">
        <v>12</v>
      </c>
      <c r="D93" s="117"/>
      <c r="E93" s="117"/>
      <c r="F93" s="117"/>
      <c r="G93" s="76">
        <f t="shared" si="16"/>
        <v>0</v>
      </c>
      <c r="N93" s="67"/>
    </row>
    <row r="94" spans="2:14">
      <c r="C94" s="65" t="s">
        <v>57</v>
      </c>
      <c r="D94" s="117">
        <f>48994.3+1000+0.85-2000</f>
        <v>47995.15</v>
      </c>
      <c r="E94" s="117"/>
      <c r="F94" s="117"/>
      <c r="G94" s="76">
        <f t="shared" si="16"/>
        <v>47995.15</v>
      </c>
      <c r="N94" s="67"/>
    </row>
    <row r="95" spans="2:14">
      <c r="C95" s="70" t="s">
        <v>60</v>
      </c>
      <c r="D95" s="82">
        <f>SUM(D88:D94)</f>
        <v>62778.130000000005</v>
      </c>
      <c r="E95" s="82">
        <f>SUM(E88:E94)</f>
        <v>0</v>
      </c>
      <c r="F95" s="82">
        <f t="shared" ref="F95" si="17">SUM(F88:F94)</f>
        <v>0</v>
      </c>
      <c r="G95" s="76">
        <f t="shared" si="16"/>
        <v>62778.130000000005</v>
      </c>
      <c r="N95" s="67"/>
    </row>
    <row r="96" spans="2:14" s="69" customFormat="1">
      <c r="C96" s="83"/>
      <c r="D96" s="84"/>
      <c r="E96" s="84"/>
      <c r="F96" s="84"/>
      <c r="G96" s="85"/>
    </row>
    <row r="97" spans="3:14" ht="15.75" customHeight="1">
      <c r="C97" s="289" t="s">
        <v>68</v>
      </c>
      <c r="D97" s="290"/>
      <c r="E97" s="290"/>
      <c r="F97" s="290"/>
      <c r="G97" s="291"/>
      <c r="N97" s="67"/>
    </row>
    <row r="98" spans="3:14" ht="21.75" customHeight="1" thickBot="1">
      <c r="C98" s="79" t="s">
        <v>58</v>
      </c>
      <c r="D98" s="80">
        <f>'1) Budget Tables'!D43</f>
        <v>11438.49</v>
      </c>
      <c r="E98" s="80">
        <f>'1) Budget Tables'!E43</f>
        <v>0</v>
      </c>
      <c r="F98" s="80">
        <f>'1) Budget Tables'!F43</f>
        <v>0</v>
      </c>
      <c r="G98" s="81">
        <f t="shared" ref="G98:G106" si="18">SUM(D98:F98)</f>
        <v>11438.49</v>
      </c>
      <c r="N98" s="67"/>
    </row>
    <row r="99" spans="3:14">
      <c r="C99" s="77" t="s">
        <v>8</v>
      </c>
      <c r="D99" s="115">
        <v>3565.57</v>
      </c>
      <c r="E99" s="116"/>
      <c r="F99" s="116"/>
      <c r="G99" s="78">
        <f t="shared" si="18"/>
        <v>3565.57</v>
      </c>
      <c r="N99" s="67"/>
    </row>
    <row r="100" spans="3:14">
      <c r="C100" s="65" t="s">
        <v>9</v>
      </c>
      <c r="D100" s="117"/>
      <c r="E100" s="24"/>
      <c r="F100" s="24"/>
      <c r="G100" s="76">
        <f t="shared" si="18"/>
        <v>0</v>
      </c>
      <c r="N100" s="67"/>
    </row>
    <row r="101" spans="3:14" ht="31.5">
      <c r="C101" s="65" t="s">
        <v>10</v>
      </c>
      <c r="D101" s="117"/>
      <c r="E101" s="117"/>
      <c r="F101" s="117"/>
      <c r="G101" s="76">
        <f t="shared" si="18"/>
        <v>0</v>
      </c>
      <c r="N101" s="67"/>
    </row>
    <row r="102" spans="3:14">
      <c r="C102" s="66" t="s">
        <v>11</v>
      </c>
      <c r="D102" s="117">
        <v>915.7</v>
      </c>
      <c r="E102" s="117"/>
      <c r="F102" s="117"/>
      <c r="G102" s="76">
        <f t="shared" si="18"/>
        <v>915.7</v>
      </c>
      <c r="N102" s="67"/>
    </row>
    <row r="103" spans="3:14">
      <c r="C103" s="65" t="s">
        <v>16</v>
      </c>
      <c r="D103" s="117">
        <v>1928.52</v>
      </c>
      <c r="E103" s="117"/>
      <c r="F103" s="117"/>
      <c r="G103" s="76">
        <f t="shared" si="18"/>
        <v>1928.52</v>
      </c>
      <c r="N103" s="67"/>
    </row>
    <row r="104" spans="3:14">
      <c r="C104" s="65" t="s">
        <v>12</v>
      </c>
      <c r="D104" s="117"/>
      <c r="E104" s="117"/>
      <c r="F104" s="117"/>
      <c r="G104" s="76">
        <f t="shared" si="18"/>
        <v>0</v>
      </c>
      <c r="N104" s="67"/>
    </row>
    <row r="105" spans="3:14">
      <c r="C105" s="65" t="s">
        <v>57</v>
      </c>
      <c r="D105" s="117">
        <v>5028.7</v>
      </c>
      <c r="E105" s="117"/>
      <c r="F105" s="117"/>
      <c r="G105" s="76">
        <f t="shared" si="18"/>
        <v>5028.7</v>
      </c>
      <c r="N105" s="67"/>
    </row>
    <row r="106" spans="3:14">
      <c r="C106" s="70" t="s">
        <v>60</v>
      </c>
      <c r="D106" s="82">
        <f t="shared" ref="D106:E106" si="19">SUM(D99:D105)</f>
        <v>11438.490000000002</v>
      </c>
      <c r="E106" s="82">
        <f t="shared" si="19"/>
        <v>0</v>
      </c>
      <c r="F106" s="82">
        <f t="shared" ref="F106" si="20">SUM(F99:F105)</f>
        <v>0</v>
      </c>
      <c r="G106" s="76">
        <f t="shared" si="18"/>
        <v>11438.490000000002</v>
      </c>
      <c r="N106" s="67"/>
    </row>
    <row r="107" spans="3:14" s="69" customFormat="1">
      <c r="C107" s="83"/>
      <c r="D107" s="84"/>
      <c r="E107" s="84"/>
      <c r="F107" s="84"/>
      <c r="G107" s="85"/>
    </row>
    <row r="108" spans="3:14">
      <c r="C108" s="289" t="s">
        <v>46</v>
      </c>
      <c r="D108" s="290"/>
      <c r="E108" s="290"/>
      <c r="F108" s="290"/>
      <c r="G108" s="291"/>
      <c r="N108" s="67"/>
    </row>
    <row r="109" spans="3:14" ht="21" customHeight="1" thickBot="1">
      <c r="C109" s="79" t="s">
        <v>58</v>
      </c>
      <c r="D109" s="80">
        <f>'1) Budget Tables'!D46</f>
        <v>19883.89</v>
      </c>
      <c r="E109" s="80">
        <f>'1) Budget Tables'!E46</f>
        <v>0</v>
      </c>
      <c r="F109" s="80">
        <f>'1) Budget Tables'!F46</f>
        <v>0</v>
      </c>
      <c r="G109" s="81">
        <f t="shared" ref="G109:G117" si="21">SUM(D109:F109)</f>
        <v>19883.89</v>
      </c>
      <c r="N109" s="67"/>
    </row>
    <row r="110" spans="3:14">
      <c r="C110" s="77" t="s">
        <v>8</v>
      </c>
      <c r="D110" s="115"/>
      <c r="E110" s="116"/>
      <c r="F110" s="116"/>
      <c r="G110" s="78">
        <f t="shared" si="21"/>
        <v>0</v>
      </c>
      <c r="N110" s="67"/>
    </row>
    <row r="111" spans="3:14">
      <c r="C111" s="65" t="s">
        <v>9</v>
      </c>
      <c r="D111" s="117"/>
      <c r="E111" s="24"/>
      <c r="F111" s="24"/>
      <c r="G111" s="76">
        <f t="shared" si="21"/>
        <v>0</v>
      </c>
      <c r="N111" s="67"/>
    </row>
    <row r="112" spans="3:14" ht="31.5">
      <c r="C112" s="65" t="s">
        <v>10</v>
      </c>
      <c r="D112" s="117"/>
      <c r="E112" s="117"/>
      <c r="F112" s="117"/>
      <c r="G112" s="76">
        <f t="shared" si="21"/>
        <v>0</v>
      </c>
      <c r="N112" s="67"/>
    </row>
    <row r="113" spans="3:14">
      <c r="C113" s="66" t="s">
        <v>11</v>
      </c>
      <c r="D113" s="117">
        <v>19883.89</v>
      </c>
      <c r="E113" s="117"/>
      <c r="F113" s="117"/>
      <c r="G113" s="76">
        <f t="shared" si="21"/>
        <v>19883.89</v>
      </c>
      <c r="N113" s="67"/>
    </row>
    <row r="114" spans="3:14">
      <c r="C114" s="65" t="s">
        <v>16</v>
      </c>
      <c r="D114" s="117"/>
      <c r="E114" s="117"/>
      <c r="F114" s="117"/>
      <c r="G114" s="76">
        <f t="shared" si="21"/>
        <v>0</v>
      </c>
      <c r="N114" s="67"/>
    </row>
    <row r="115" spans="3:14">
      <c r="C115" s="65" t="s">
        <v>12</v>
      </c>
      <c r="D115" s="117"/>
      <c r="E115" s="117"/>
      <c r="F115" s="117"/>
      <c r="G115" s="76">
        <f t="shared" si="21"/>
        <v>0</v>
      </c>
      <c r="N115" s="67"/>
    </row>
    <row r="116" spans="3:14">
      <c r="C116" s="65" t="s">
        <v>57</v>
      </c>
      <c r="D116" s="117"/>
      <c r="E116" s="117"/>
      <c r="F116" s="117"/>
      <c r="G116" s="76">
        <f t="shared" si="21"/>
        <v>0</v>
      </c>
      <c r="N116" s="67"/>
    </row>
    <row r="117" spans="3:14">
      <c r="C117" s="70" t="s">
        <v>60</v>
      </c>
      <c r="D117" s="82">
        <f t="shared" ref="D117:E117" si="22">SUM(D110:D116)</f>
        <v>19883.89</v>
      </c>
      <c r="E117" s="82">
        <f t="shared" si="22"/>
        <v>0</v>
      </c>
      <c r="F117" s="82">
        <f t="shared" ref="F117" si="23">SUM(F110:F116)</f>
        <v>0</v>
      </c>
      <c r="G117" s="76">
        <f t="shared" si="21"/>
        <v>19883.89</v>
      </c>
      <c r="N117" s="67"/>
    </row>
    <row r="118" spans="3:14" s="69" customFormat="1">
      <c r="C118" s="83"/>
      <c r="D118" s="84"/>
      <c r="E118" s="84"/>
      <c r="F118" s="84"/>
      <c r="G118" s="85"/>
    </row>
    <row r="119" spans="3:14" s="71" customFormat="1" ht="15.75" customHeight="1">
      <c r="C119" s="67"/>
      <c r="D119" s="69"/>
      <c r="E119" s="69"/>
      <c r="F119" s="69"/>
      <c r="G119" s="67"/>
    </row>
    <row r="120" spans="3:14" s="71" customFormat="1" ht="15.75" customHeight="1">
      <c r="C120" s="289" t="s">
        <v>425</v>
      </c>
      <c r="D120" s="290"/>
      <c r="E120" s="290"/>
      <c r="F120" s="290"/>
      <c r="G120" s="291"/>
    </row>
    <row r="121" spans="3:14" s="71" customFormat="1" ht="19.5" customHeight="1" thickBot="1">
      <c r="C121" s="79" t="s">
        <v>426</v>
      </c>
      <c r="D121" s="80">
        <f>'1) Budget Tables'!D53</f>
        <v>24000</v>
      </c>
      <c r="E121" s="80">
        <f>'1) Budget Tables'!E53</f>
        <v>0</v>
      </c>
      <c r="F121" s="80">
        <f>'1) Budget Tables'!F53</f>
        <v>0</v>
      </c>
      <c r="G121" s="81">
        <f t="shared" ref="G121:G129" si="24">SUM(D121:F121)</f>
        <v>24000</v>
      </c>
    </row>
    <row r="122" spans="3:14" s="71" customFormat="1" ht="15.75" customHeight="1">
      <c r="C122" s="77" t="s">
        <v>8</v>
      </c>
      <c r="D122" s="115"/>
      <c r="E122" s="116"/>
      <c r="F122" s="116"/>
      <c r="G122" s="78">
        <f t="shared" si="24"/>
        <v>0</v>
      </c>
    </row>
    <row r="123" spans="3:14" s="71" customFormat="1" ht="15.75" customHeight="1">
      <c r="C123" s="65" t="s">
        <v>9</v>
      </c>
      <c r="D123" s="117"/>
      <c r="E123" s="24"/>
      <c r="F123" s="24"/>
      <c r="G123" s="76">
        <f t="shared" si="24"/>
        <v>0</v>
      </c>
    </row>
    <row r="124" spans="3:14" s="71" customFormat="1" ht="15.75" customHeight="1">
      <c r="C124" s="65" t="s">
        <v>10</v>
      </c>
      <c r="D124" s="117"/>
      <c r="E124" s="117"/>
      <c r="F124" s="117"/>
      <c r="G124" s="76">
        <f t="shared" si="24"/>
        <v>0</v>
      </c>
    </row>
    <row r="125" spans="3:14" s="71" customFormat="1" ht="15.75" customHeight="1">
      <c r="C125" s="66" t="s">
        <v>11</v>
      </c>
      <c r="D125" s="117">
        <v>24000</v>
      </c>
      <c r="E125" s="117"/>
      <c r="F125" s="117"/>
      <c r="G125" s="76">
        <f t="shared" si="24"/>
        <v>24000</v>
      </c>
    </row>
    <row r="126" spans="3:14" s="71" customFormat="1" ht="15.75" customHeight="1">
      <c r="C126" s="65" t="s">
        <v>16</v>
      </c>
      <c r="D126" s="117"/>
      <c r="E126" s="117"/>
      <c r="F126" s="117"/>
      <c r="G126" s="76">
        <f t="shared" si="24"/>
        <v>0</v>
      </c>
    </row>
    <row r="127" spans="3:14" s="71" customFormat="1" ht="15.75" customHeight="1">
      <c r="C127" s="65" t="s">
        <v>12</v>
      </c>
      <c r="D127" s="117"/>
      <c r="E127" s="117"/>
      <c r="F127" s="117"/>
      <c r="G127" s="76">
        <f t="shared" si="24"/>
        <v>0</v>
      </c>
    </row>
    <row r="128" spans="3:14" s="71" customFormat="1" ht="15.75" customHeight="1">
      <c r="C128" s="65" t="s">
        <v>57</v>
      </c>
      <c r="D128" s="117"/>
      <c r="E128" s="117"/>
      <c r="F128" s="117"/>
      <c r="G128" s="76">
        <f t="shared" si="24"/>
        <v>0</v>
      </c>
    </row>
    <row r="129" spans="3:13" s="71" customFormat="1" ht="15.75" customHeight="1">
      <c r="C129" s="70" t="s">
        <v>60</v>
      </c>
      <c r="D129" s="82">
        <f t="shared" ref="D129:F129" si="25">SUM(D122:D128)</f>
        <v>24000</v>
      </c>
      <c r="E129" s="82">
        <f t="shared" si="25"/>
        <v>0</v>
      </c>
      <c r="F129" s="82">
        <f t="shared" si="25"/>
        <v>0</v>
      </c>
      <c r="G129" s="76">
        <f t="shared" si="24"/>
        <v>24000</v>
      </c>
    </row>
    <row r="130" spans="3:13" s="71" customFormat="1" ht="15.75" customHeight="1" thickBot="1">
      <c r="C130" s="67"/>
      <c r="D130" s="69"/>
      <c r="E130" s="69"/>
      <c r="F130" s="69"/>
      <c r="G130" s="67"/>
    </row>
    <row r="131" spans="3:13" s="71" customFormat="1" ht="19.5" customHeight="1" thickBot="1">
      <c r="C131" s="305" t="s">
        <v>17</v>
      </c>
      <c r="D131" s="306"/>
      <c r="E131" s="306"/>
      <c r="F131" s="306"/>
      <c r="G131" s="307"/>
    </row>
    <row r="132" spans="3:13" s="71" customFormat="1" ht="19.5" customHeight="1">
      <c r="C132" s="91"/>
      <c r="D132" s="75" t="s">
        <v>429</v>
      </c>
      <c r="E132" s="75" t="s">
        <v>419</v>
      </c>
      <c r="F132" s="75" t="s">
        <v>420</v>
      </c>
      <c r="G132" s="303" t="s">
        <v>17</v>
      </c>
    </row>
    <row r="133" spans="3:13" s="71" customFormat="1" ht="19.5" customHeight="1">
      <c r="C133" s="91"/>
      <c r="D133" s="184">
        <f>'1) Budget Tables'!D13</f>
        <v>0</v>
      </c>
      <c r="E133" s="68"/>
      <c r="F133" s="68"/>
      <c r="G133" s="304"/>
    </row>
    <row r="134" spans="3:13" s="71" customFormat="1" ht="19.5" customHeight="1">
      <c r="C134" s="26" t="s">
        <v>8</v>
      </c>
      <c r="D134" s="92">
        <f>SUM(D110,D99,D88,D75,D64,D53,D40,D29,D18,D122)</f>
        <v>154412.5</v>
      </c>
      <c r="E134" s="92" t="e">
        <f>SUM(#REF!,#REF!,#REF!,#REF!,#REF!,E110,E99,E88,#REF!,E75,E64,E53,#REF!,E40,E29,E18)</f>
        <v>#REF!</v>
      </c>
      <c r="F134" s="92" t="e">
        <f>SUM(#REF!,#REF!,#REF!,#REF!,#REF!,F110,F99,F88,#REF!,F75,F64,F53,#REF!,F40,F29,F18)</f>
        <v>#REF!</v>
      </c>
      <c r="G134" s="88" t="e">
        <f>SUM(D134:F134)</f>
        <v>#REF!</v>
      </c>
      <c r="I134" s="235"/>
    </row>
    <row r="135" spans="3:13" s="71" customFormat="1" ht="34.5" customHeight="1">
      <c r="C135" s="26" t="s">
        <v>9</v>
      </c>
      <c r="D135" s="92">
        <f>SUM(,D111,D100,D89,D76,D65,D54,D41,D30,D19,D123)</f>
        <v>1499.6599999999999</v>
      </c>
      <c r="E135" s="92" t="e">
        <f>SUM(#REF!,#REF!,#REF!,#REF!,#REF!,E111,E100,E89,#REF!,E76,E65,E54,#REF!,E41,E30,E19)</f>
        <v>#REF!</v>
      </c>
      <c r="F135" s="92" t="e">
        <f>SUM(#REF!,#REF!,#REF!,#REF!,#REF!,F111,F100,F89,#REF!,F76,F65,F54,#REF!,F41,F30,F19)</f>
        <v>#REF!</v>
      </c>
      <c r="G135" s="89" t="e">
        <f>SUM(D135:F135)</f>
        <v>#REF!</v>
      </c>
      <c r="I135" s="236"/>
    </row>
    <row r="136" spans="3:13" s="71" customFormat="1" ht="48" customHeight="1">
      <c r="C136" s="26" t="s">
        <v>10</v>
      </c>
      <c r="D136" s="92">
        <f>SUM(D112,D101,D90,D77,D66,D55,D42,D31,D20,D124)</f>
        <v>6976.8000000000011</v>
      </c>
      <c r="E136" s="92" t="e">
        <f>SUM(#REF!,#REF!,#REF!,#REF!,#REF!,E112,E101,E90,#REF!,E77,E66,E55,#REF!,E42,E31,E20)</f>
        <v>#REF!</v>
      </c>
      <c r="F136" s="92" t="e">
        <f>SUM(#REF!,#REF!,#REF!,#REF!,#REF!,F112,F101,F90,#REF!,F77,F66,F55,#REF!,F42,F31,F20)</f>
        <v>#REF!</v>
      </c>
      <c r="G136" s="89" t="e">
        <f t="shared" ref="G136:G140" si="26">SUM(D136:F136)</f>
        <v>#REF!</v>
      </c>
      <c r="I136" s="235"/>
    </row>
    <row r="137" spans="3:13" s="71" customFormat="1" ht="33" customHeight="1">
      <c r="C137" s="41" t="s">
        <v>11</v>
      </c>
      <c r="D137" s="92">
        <f>SUM(D113,D102,D91,D78,D67,D56,D43,D32,D21)</f>
        <v>55122.350000000006</v>
      </c>
      <c r="E137" s="92" t="e">
        <f>SUM(#REF!,#REF!,#REF!,#REF!,#REF!,E113,E102,E91,#REF!,E78,E67,E56,#REF!,E43,E32,E21)</f>
        <v>#REF!</v>
      </c>
      <c r="F137" s="92" t="e">
        <f>SUM(#REF!,#REF!,#REF!,#REF!,#REF!,F113,F102,F91,#REF!,F78,F67,F56,#REF!,F43,F32,F21)</f>
        <v>#REF!</v>
      </c>
      <c r="G137" s="89" t="e">
        <f t="shared" si="26"/>
        <v>#REF!</v>
      </c>
      <c r="I137" s="235"/>
    </row>
    <row r="138" spans="3:13" s="71" customFormat="1" ht="21" customHeight="1">
      <c r="C138" s="176" t="s">
        <v>16</v>
      </c>
      <c r="D138" s="92">
        <f t="shared" ref="D138:D139" si="27">SUM(D114,D103,D92,D79,D68,D57,D44,D33,D22,D126)</f>
        <v>60611.14</v>
      </c>
      <c r="E138" s="92" t="e">
        <f>SUM(#REF!,#REF!,#REF!,#REF!,#REF!,E114,E103,E92,#REF!,E79,E68,E57,#REF!,E44,E33,E22)</f>
        <v>#REF!</v>
      </c>
      <c r="F138" s="92" t="e">
        <f>SUM(#REF!,#REF!,#REF!,#REF!,#REF!,F114,F103,F92,#REF!,F79,F68,F57,#REF!,F44,F33,F22)</f>
        <v>#REF!</v>
      </c>
      <c r="G138" s="89" t="e">
        <f t="shared" si="26"/>
        <v>#REF!</v>
      </c>
      <c r="H138" s="30"/>
      <c r="I138" s="30"/>
      <c r="J138" s="30"/>
      <c r="K138" s="30"/>
      <c r="L138" s="30"/>
      <c r="M138" s="29"/>
    </row>
    <row r="139" spans="3:13" s="71" customFormat="1" ht="39.75" customHeight="1">
      <c r="C139" s="26" t="s">
        <v>12</v>
      </c>
      <c r="D139" s="92">
        <f t="shared" si="27"/>
        <v>0</v>
      </c>
      <c r="E139" s="173" t="e">
        <f>SUM(#REF!,#REF!,#REF!,#REF!,#REF!,E115,E104,E93,#REF!,E80,E69,E58,#REF!,E45,E34,E23)</f>
        <v>#REF!</v>
      </c>
      <c r="F139" s="92" t="e">
        <f>SUM(#REF!,#REF!,#REF!,#REF!,#REF!,F115,F104,F93,#REF!,F80,F69,F58,#REF!,F45,F34,F23)</f>
        <v>#REF!</v>
      </c>
      <c r="G139" s="89" t="e">
        <f t="shared" si="26"/>
        <v>#REF!</v>
      </c>
      <c r="H139" s="30"/>
      <c r="I139" s="30"/>
      <c r="J139" s="30"/>
      <c r="K139" s="30"/>
      <c r="L139" s="30"/>
      <c r="M139" s="29"/>
    </row>
    <row r="140" spans="3:13" s="71" customFormat="1" ht="23.25" customHeight="1" thickBot="1">
      <c r="C140" s="26" t="s">
        <v>57</v>
      </c>
      <c r="D140" s="92">
        <f>SUM(D116,D105,D94,D81,D70,D59,D46,D35,D24,D128)</f>
        <v>145815.38</v>
      </c>
      <c r="E140" s="174" t="e">
        <f>SUM(#REF!,#REF!,#REF!,#REF!,#REF!,E116,E105,E94,#REF!,E81,E70,E59,#REF!,E46,E35,E24)</f>
        <v>#REF!</v>
      </c>
      <c r="F140" s="95" t="e">
        <f>SUM(#REF!,#REF!,#REF!,#REF!,#REF!,F116,F105,F94,#REF!,F81,F70,F59,#REF!,F46,F35,F24)</f>
        <v>#REF!</v>
      </c>
      <c r="G140" s="90" t="e">
        <f t="shared" si="26"/>
        <v>#REF!</v>
      </c>
      <c r="H140" s="30"/>
      <c r="I140" s="30"/>
      <c r="J140" s="30"/>
      <c r="K140" s="30"/>
      <c r="L140" s="30"/>
      <c r="M140" s="29"/>
    </row>
    <row r="141" spans="3:13" s="71" customFormat="1" ht="22.5" customHeight="1" thickBot="1">
      <c r="C141" s="182" t="s">
        <v>433</v>
      </c>
      <c r="D141" s="183">
        <f>SUM(D134:D140)</f>
        <v>424437.83</v>
      </c>
      <c r="E141" s="175" t="e">
        <f t="shared" ref="E141" si="28">SUM(E134:E140)</f>
        <v>#REF!</v>
      </c>
      <c r="F141" s="93" t="e">
        <f t="shared" ref="F141" si="29">SUM(F134:F140)</f>
        <v>#REF!</v>
      </c>
      <c r="G141" s="94" t="e">
        <f>SUM(D141:F141)</f>
        <v>#REF!</v>
      </c>
      <c r="H141" s="30"/>
      <c r="I141" s="30"/>
      <c r="J141" s="30"/>
      <c r="K141" s="30"/>
      <c r="L141" s="30"/>
      <c r="M141" s="29"/>
    </row>
    <row r="142" spans="3:13" s="71" customFormat="1" ht="22.5" customHeight="1">
      <c r="C142" s="182" t="s">
        <v>434</v>
      </c>
      <c r="D142" s="183">
        <f>D141*0.07</f>
        <v>29710.648100000002</v>
      </c>
      <c r="E142" s="172"/>
      <c r="F142" s="172"/>
      <c r="G142" s="177"/>
      <c r="H142" s="30"/>
      <c r="I142" s="30"/>
      <c r="J142" s="30"/>
      <c r="K142" s="30"/>
      <c r="L142" s="30"/>
      <c r="M142" s="29"/>
    </row>
    <row r="143" spans="3:13" s="71" customFormat="1" ht="22.5" customHeight="1" thickBot="1">
      <c r="C143" s="178" t="s">
        <v>435</v>
      </c>
      <c r="D143" s="179">
        <f>SUM(D141:D142)</f>
        <v>454148.47810000001</v>
      </c>
      <c r="E143" s="180"/>
      <c r="F143" s="180"/>
      <c r="G143" s="181"/>
      <c r="H143" s="30"/>
      <c r="I143" s="30"/>
      <c r="J143" s="30"/>
      <c r="K143" s="30"/>
      <c r="L143" s="30"/>
      <c r="M143" s="29"/>
    </row>
    <row r="144" spans="3:13" s="71" customFormat="1" ht="15.75" customHeight="1">
      <c r="C144" s="67"/>
      <c r="D144" s="69"/>
      <c r="E144" s="69"/>
      <c r="F144" s="69"/>
      <c r="G144" s="67"/>
      <c r="H144" s="43"/>
      <c r="I144" s="43"/>
      <c r="J144" s="43"/>
      <c r="K144" s="43"/>
      <c r="L144" s="72"/>
      <c r="M144" s="69"/>
    </row>
    <row r="145" spans="3:14" s="71" customFormat="1" ht="15.75" customHeight="1">
      <c r="C145" s="67"/>
      <c r="D145" s="69"/>
      <c r="E145" s="69"/>
      <c r="F145" s="69"/>
      <c r="G145" s="67"/>
      <c r="H145" s="43"/>
      <c r="I145" s="43"/>
      <c r="J145" s="43"/>
      <c r="K145" s="43"/>
      <c r="L145" s="72"/>
      <c r="M145" s="69"/>
    </row>
    <row r="146" spans="3:14" ht="15.75" customHeight="1">
      <c r="L146" s="73"/>
    </row>
    <row r="147" spans="3:14" ht="15.75" customHeight="1">
      <c r="H147" s="53"/>
      <c r="I147" s="53"/>
      <c r="L147" s="73"/>
    </row>
    <row r="148" spans="3:14" ht="102" customHeight="1">
      <c r="C148" s="243"/>
      <c r="H148" s="53"/>
      <c r="I148" s="53"/>
      <c r="L148" s="71"/>
    </row>
    <row r="149" spans="3:14" ht="40.5" customHeight="1">
      <c r="H149" s="53"/>
      <c r="I149" s="53"/>
      <c r="L149" s="74"/>
    </row>
    <row r="150" spans="3:14" ht="24.75" customHeight="1">
      <c r="H150" s="53"/>
      <c r="I150" s="53"/>
      <c r="L150" s="74"/>
    </row>
    <row r="151" spans="3:14" ht="41.25" customHeight="1">
      <c r="H151" s="18"/>
      <c r="I151" s="53"/>
      <c r="L151" s="74"/>
    </row>
    <row r="152" spans="3:14" ht="51.75" customHeight="1">
      <c r="H152" s="18"/>
      <c r="I152" s="53"/>
      <c r="L152" s="74"/>
      <c r="N152" s="67"/>
    </row>
    <row r="153" spans="3:14" ht="42" customHeight="1">
      <c r="H153" s="53"/>
      <c r="I153" s="53"/>
      <c r="L153" s="74"/>
      <c r="N153" s="67"/>
    </row>
    <row r="154" spans="3:14" s="69" customFormat="1" ht="42" customHeight="1">
      <c r="C154" s="67"/>
      <c r="G154" s="67"/>
      <c r="H154" s="71"/>
      <c r="I154" s="53"/>
      <c r="J154" s="67"/>
      <c r="K154" s="67"/>
      <c r="L154" s="74"/>
      <c r="M154" s="67"/>
    </row>
    <row r="155" spans="3:14" s="69" customFormat="1" ht="42" customHeight="1">
      <c r="C155" s="67"/>
      <c r="G155" s="67"/>
      <c r="H155" s="67"/>
      <c r="I155" s="53"/>
      <c r="J155" s="67"/>
      <c r="K155" s="67"/>
      <c r="L155" s="67"/>
      <c r="M155" s="67"/>
    </row>
    <row r="156" spans="3:14" s="69" customFormat="1" ht="63.75" customHeight="1">
      <c r="C156" s="67"/>
      <c r="G156" s="67"/>
      <c r="H156" s="67"/>
      <c r="I156" s="73"/>
      <c r="J156" s="71"/>
      <c r="K156" s="71"/>
      <c r="L156" s="67"/>
      <c r="M156" s="67"/>
    </row>
    <row r="157" spans="3:14" s="69" customFormat="1" ht="42" customHeight="1">
      <c r="C157" s="67"/>
      <c r="G157" s="67"/>
      <c r="H157" s="67"/>
      <c r="I157" s="67"/>
      <c r="J157" s="67"/>
      <c r="K157" s="67"/>
      <c r="L157" s="67"/>
      <c r="M157" s="73"/>
    </row>
    <row r="158" spans="3:14" ht="23.25" customHeight="1">
      <c r="N158" s="67"/>
    </row>
    <row r="159" spans="3:14" ht="27.75" customHeight="1">
      <c r="L159" s="71"/>
      <c r="N159" s="67"/>
    </row>
    <row r="160" spans="3:14" ht="55.5" customHeight="1">
      <c r="N160" s="67"/>
    </row>
    <row r="161" spans="3:14" ht="57.75" customHeight="1">
      <c r="M161" s="71"/>
      <c r="N161" s="67"/>
    </row>
    <row r="162" spans="3:14" ht="21.75" customHeight="1">
      <c r="N162" s="67"/>
    </row>
    <row r="163" spans="3:14" ht="49.5" customHeight="1">
      <c r="N163" s="67"/>
    </row>
    <row r="164" spans="3:14" ht="28.5" customHeight="1">
      <c r="N164" s="67"/>
    </row>
    <row r="165" spans="3:14" ht="28.5" customHeight="1">
      <c r="N165" s="67"/>
    </row>
    <row r="166" spans="3:14" ht="28.5" customHeight="1">
      <c r="N166" s="67"/>
    </row>
    <row r="167" spans="3:14" ht="23.25" customHeight="1">
      <c r="N167" s="73"/>
    </row>
    <row r="168" spans="3:14" ht="43.5" customHeight="1">
      <c r="N168" s="73"/>
    </row>
    <row r="169" spans="3:14" ht="55.5" customHeight="1">
      <c r="N169" s="67"/>
    </row>
    <row r="170" spans="3:14" ht="42.75" customHeight="1">
      <c r="N170" s="73"/>
    </row>
    <row r="171" spans="3:14" ht="21.75" customHeight="1">
      <c r="N171" s="73"/>
    </row>
    <row r="172" spans="3:14" ht="21.75" customHeight="1">
      <c r="N172" s="73"/>
    </row>
    <row r="173" spans="3:14" s="71" customFormat="1" ht="23.25" customHeight="1">
      <c r="C173" s="67"/>
      <c r="D173" s="69"/>
      <c r="E173" s="69"/>
      <c r="F173" s="69"/>
      <c r="G173" s="67"/>
      <c r="H173" s="67"/>
      <c r="I173" s="67"/>
      <c r="J173" s="67"/>
      <c r="K173" s="67"/>
      <c r="L173" s="67"/>
      <c r="M173" s="67"/>
    </row>
    <row r="174" spans="3:14" ht="23.25" customHeight="1"/>
    <row r="175" spans="3:14" ht="21.75" customHeight="1"/>
    <row r="176" spans="3:14" ht="16.5" customHeight="1"/>
    <row r="177" ht="29.25" customHeight="1"/>
    <row r="178" ht="24.75" customHeight="1"/>
    <row r="179" ht="33" customHeight="1"/>
    <row r="181" ht="15" customHeight="1"/>
    <row r="182" ht="25.5" customHeight="1"/>
  </sheetData>
  <sheetProtection formatCells="0" formatColumns="0" formatRows="0"/>
  <mergeCells count="20">
    <mergeCell ref="C120:G120"/>
    <mergeCell ref="C6:J9"/>
    <mergeCell ref="G132:G133"/>
    <mergeCell ref="C51:G51"/>
    <mergeCell ref="C86:G86"/>
    <mergeCell ref="C97:G97"/>
    <mergeCell ref="C108:G108"/>
    <mergeCell ref="C131:G131"/>
    <mergeCell ref="C62:G62"/>
    <mergeCell ref="C73:G73"/>
    <mergeCell ref="B85:G85"/>
    <mergeCell ref="C2:F2"/>
    <mergeCell ref="C11:F11"/>
    <mergeCell ref="B15:G15"/>
    <mergeCell ref="C16:G16"/>
    <mergeCell ref="B50:G50"/>
    <mergeCell ref="G13:G14"/>
    <mergeCell ref="C5:G5"/>
    <mergeCell ref="C27:G27"/>
    <mergeCell ref="C38:G38"/>
  </mergeCells>
  <conditionalFormatting sqref="G25">
    <cfRule type="cellIs" dxfId="24" priority="34" operator="notEqual">
      <formula>$G$17</formula>
    </cfRule>
  </conditionalFormatting>
  <conditionalFormatting sqref="G36">
    <cfRule type="cellIs" dxfId="23" priority="33" operator="notEqual">
      <formula>$G$28</formula>
    </cfRule>
  </conditionalFormatting>
  <conditionalFormatting sqref="G47:G48">
    <cfRule type="cellIs" dxfId="22" priority="32" operator="notEqual">
      <formula>$G$39</formula>
    </cfRule>
  </conditionalFormatting>
  <conditionalFormatting sqref="G60">
    <cfRule type="cellIs" dxfId="21" priority="30" operator="notEqual">
      <formula>$G$52</formula>
    </cfRule>
  </conditionalFormatting>
  <conditionalFormatting sqref="G71">
    <cfRule type="cellIs" dxfId="20" priority="29" operator="notEqual">
      <formula>$G$63</formula>
    </cfRule>
  </conditionalFormatting>
  <conditionalFormatting sqref="G82">
    <cfRule type="cellIs" dxfId="19" priority="28" operator="notEqual">
      <formula>$G$74</formula>
    </cfRule>
  </conditionalFormatting>
  <conditionalFormatting sqref="G95">
    <cfRule type="cellIs" dxfId="18" priority="26" operator="notEqual">
      <formula>$G$87</formula>
    </cfRule>
  </conditionalFormatting>
  <conditionalFormatting sqref="G106">
    <cfRule type="cellIs" dxfId="17" priority="25" operator="notEqual">
      <formula>$G$98</formula>
    </cfRule>
  </conditionalFormatting>
  <conditionalFormatting sqref="G117">
    <cfRule type="cellIs" dxfId="16" priority="24" operator="notEqual">
      <formula>$G$109</formula>
    </cfRule>
  </conditionalFormatting>
  <conditionalFormatting sqref="G129">
    <cfRule type="cellIs" dxfId="15" priority="18" operator="notEqual">
      <formula>$G$121</formula>
    </cfRule>
  </conditionalFormatting>
  <conditionalFormatting sqref="D25">
    <cfRule type="cellIs" dxfId="14" priority="17" operator="notEqual">
      <formula>$D$17</formula>
    </cfRule>
  </conditionalFormatting>
  <conditionalFormatting sqref="D36">
    <cfRule type="cellIs" dxfId="13" priority="16" operator="notEqual">
      <formula>$D$28</formula>
    </cfRule>
  </conditionalFormatting>
  <conditionalFormatting sqref="D47">
    <cfRule type="cellIs" dxfId="12" priority="15" operator="notEqual">
      <formula>$D$39</formula>
    </cfRule>
  </conditionalFormatting>
  <conditionalFormatting sqref="D60">
    <cfRule type="cellIs" dxfId="11" priority="13" operator="notEqual">
      <formula>$D$52</formula>
    </cfRule>
  </conditionalFormatting>
  <conditionalFormatting sqref="D71">
    <cfRule type="cellIs" dxfId="10" priority="12" operator="notEqual">
      <formula>$D$63</formula>
    </cfRule>
  </conditionalFormatting>
  <conditionalFormatting sqref="D82">
    <cfRule type="cellIs" dxfId="9" priority="11" operator="notEqual">
      <formula>$D$74</formula>
    </cfRule>
  </conditionalFormatting>
  <conditionalFormatting sqref="D95">
    <cfRule type="cellIs" dxfId="8" priority="9" operator="notEqual">
      <formula>$D$87</formula>
    </cfRule>
  </conditionalFormatting>
  <conditionalFormatting sqref="D106">
    <cfRule type="cellIs" dxfId="7" priority="8" operator="notEqual">
      <formula>$D$98</formula>
    </cfRule>
  </conditionalFormatting>
  <conditionalFormatting sqref="D117">
    <cfRule type="cellIs" dxfId="6" priority="7" operator="notEqual">
      <formula>$D$109</formula>
    </cfRule>
  </conditionalFormatting>
  <conditionalFormatting sqref="D129">
    <cfRule type="cellIs" dxfId="5" priority="1" operator="notEqual">
      <formula>$D$121</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0 C128 C59 C70 C81 C46 C35 C24 C116 C105 C9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9 C127 C58 C69 C80 C45 C34 C23 C115 C104 C93"/>
    <dataValidation allowBlank="1" showInputMessage="1" showErrorMessage="1" prompt="Services contracted by an organization which follow the normal procurement processes." sqref="C137 C125 C56 C67 C78 C43 C32 C21 C113 C102 C91"/>
    <dataValidation allowBlank="1" showInputMessage="1" showErrorMessage="1" prompt="Includes staff and non-staff travel paid for by the organization directly related to a project." sqref="C138 C126 C57 C68 C79 C44 C33 C22 C114 C103 C92"/>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36 C124 C55 C66 C77 C42 C31 C20 C112 C101 C9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35 C123 C54 C65 C76 C41 C30 C19 C111 C100 C89"/>
    <dataValidation allowBlank="1" showInputMessage="1" showErrorMessage="1" prompt="Includes all related staff and temporary staff costs including base salary, post adjustment and all staff entitlements." sqref="C134 C122 C53 C64 C75 C40 C29 C18 C110 C99 C88"/>
    <dataValidation allowBlank="1" showInputMessage="1" showErrorMessage="1" prompt="Output totals must match the original total from Table 1, and will show as red if not. " sqref="G25"/>
  </dataValidations>
  <pageMargins left="0.7" right="0.7" top="0.75" bottom="0.75" header="0.3" footer="0.3"/>
  <pageSetup scale="74" orientation="landscape" r:id="rId1"/>
  <rowBreaks count="1" manualBreakCount="1">
    <brk id="61" max="16383" man="1"/>
  </rowBreaks>
</worksheet>
</file>

<file path=xl/worksheets/sheet3.xml><?xml version="1.0" encoding="utf-8"?>
<worksheet xmlns="http://schemas.openxmlformats.org/spreadsheetml/2006/main" xmlns:r="http://schemas.openxmlformats.org/officeDocument/2006/relationships">
  <sheetPr>
    <tabColor theme="0" tint="-0.34998626667073579"/>
  </sheetPr>
  <dimension ref="B1:F16"/>
  <sheetViews>
    <sheetView showGridLines="0" workbookViewId="0">
      <selection activeCell="D16" sqref="D16"/>
    </sheetView>
  </sheetViews>
  <sheetFormatPr defaultColWidth="8.85546875" defaultRowHeight="15"/>
  <cols>
    <col min="2" max="2" width="73.28515625" customWidth="1"/>
  </cols>
  <sheetData>
    <row r="1" spans="2:6" ht="15.75" thickBot="1"/>
    <row r="2" spans="2:6" ht="15.75" thickBot="1">
      <c r="B2" s="11" t="s">
        <v>26</v>
      </c>
      <c r="C2" s="1"/>
      <c r="D2" s="1"/>
      <c r="E2" s="1"/>
      <c r="F2" s="1"/>
    </row>
    <row r="3" spans="2:6">
      <c r="B3" s="8"/>
    </row>
    <row r="4" spans="2:6" ht="30.75" customHeight="1">
      <c r="B4" s="9" t="s">
        <v>19</v>
      </c>
    </row>
    <row r="5" spans="2:6" ht="30.75" customHeight="1">
      <c r="B5" s="9"/>
    </row>
    <row r="6" spans="2:6" ht="60">
      <c r="B6" s="9" t="s">
        <v>20</v>
      </c>
    </row>
    <row r="7" spans="2:6">
      <c r="B7" s="9"/>
    </row>
    <row r="8" spans="2:6" ht="60">
      <c r="B8" s="9" t="s">
        <v>21</v>
      </c>
    </row>
    <row r="9" spans="2:6">
      <c r="B9" s="9"/>
    </row>
    <row r="10" spans="2:6" ht="60">
      <c r="B10" s="9" t="s">
        <v>22</v>
      </c>
    </row>
    <row r="11" spans="2:6">
      <c r="B11" s="9"/>
    </row>
    <row r="12" spans="2:6" ht="30">
      <c r="B12" s="9" t="s">
        <v>23</v>
      </c>
    </row>
    <row r="13" spans="2:6">
      <c r="B13" s="9"/>
    </row>
    <row r="14" spans="2:6" ht="60">
      <c r="B14" s="9" t="s">
        <v>24</v>
      </c>
    </row>
    <row r="15" spans="2:6">
      <c r="B15" s="9"/>
    </row>
    <row r="16" spans="2:6" ht="45.75" thickBot="1">
      <c r="B16" s="10" t="s">
        <v>25</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0" tint="-0.34998626667073579"/>
  </sheetPr>
  <dimension ref="B1:D47"/>
  <sheetViews>
    <sheetView showGridLines="0" showZeros="0" zoomScale="80" zoomScaleNormal="80" zoomScaleSheetLayoutView="70" workbookViewId="0">
      <selection activeCell="C7" sqref="C7:D7"/>
    </sheetView>
  </sheetViews>
  <sheetFormatPr defaultColWidth="8.85546875" defaultRowHeight="15"/>
  <cols>
    <col min="2" max="2" width="61.85546875" customWidth="1"/>
    <col min="4" max="4" width="17.85546875" customWidth="1"/>
  </cols>
  <sheetData>
    <row r="1" spans="2:4" ht="15.75" thickBot="1"/>
    <row r="2" spans="2:4">
      <c r="B2" s="321" t="s">
        <v>444</v>
      </c>
      <c r="C2" s="322"/>
      <c r="D2" s="323"/>
    </row>
    <row r="3" spans="2:4" ht="15.75" thickBot="1">
      <c r="B3" s="324"/>
      <c r="C3" s="325"/>
      <c r="D3" s="326"/>
    </row>
    <row r="4" spans="2:4" ht="15.75" thickBot="1"/>
    <row r="5" spans="2:4">
      <c r="B5" s="312" t="s">
        <v>61</v>
      </c>
      <c r="C5" s="313"/>
      <c r="D5" s="314"/>
    </row>
    <row r="6" spans="2:4" ht="15.75" thickBot="1">
      <c r="B6" s="315"/>
      <c r="C6" s="316"/>
      <c r="D6" s="317"/>
    </row>
    <row r="7" spans="2:4">
      <c r="B7" s="103" t="s">
        <v>69</v>
      </c>
      <c r="C7" s="310" t="e">
        <f>SUM('1) Budget Tables'!D17:F17,'1) Budget Tables'!D20:F20,'1) Budget Tables'!D23:F23,'1) Budget Tables'!#REF!)</f>
        <v>#REF!</v>
      </c>
      <c r="D7" s="311"/>
    </row>
    <row r="8" spans="2:4">
      <c r="B8" s="103" t="s">
        <v>416</v>
      </c>
      <c r="C8" s="308" t="e">
        <f>SUM(D10:D14)</f>
        <v>#REF!</v>
      </c>
      <c r="D8" s="309"/>
    </row>
    <row r="9" spans="2:4">
      <c r="B9" s="104" t="s">
        <v>410</v>
      </c>
      <c r="C9" s="105" t="s">
        <v>411</v>
      </c>
      <c r="D9" s="106" t="s">
        <v>412</v>
      </c>
    </row>
    <row r="10" spans="2:4" ht="35.1" customHeight="1">
      <c r="B10" s="133"/>
      <c r="C10" s="108"/>
      <c r="D10" s="109" t="e">
        <f>$C$7*C10</f>
        <v>#REF!</v>
      </c>
    </row>
    <row r="11" spans="2:4" ht="35.1" customHeight="1">
      <c r="B11" s="133"/>
      <c r="C11" s="108"/>
      <c r="D11" s="109" t="e">
        <f>C7*C11</f>
        <v>#REF!</v>
      </c>
    </row>
    <row r="12" spans="2:4" ht="35.1" customHeight="1">
      <c r="B12" s="134"/>
      <c r="C12" s="108"/>
      <c r="D12" s="109" t="e">
        <f>C7*C12</f>
        <v>#REF!</v>
      </c>
    </row>
    <row r="13" spans="2:4" ht="35.1" customHeight="1">
      <c r="B13" s="134"/>
      <c r="C13" s="108"/>
      <c r="D13" s="109" t="e">
        <f>C7*C13</f>
        <v>#REF!</v>
      </c>
    </row>
    <row r="14" spans="2:4" ht="35.1" customHeight="1" thickBot="1">
      <c r="B14" s="135"/>
      <c r="C14" s="113"/>
      <c r="D14" s="114" t="e">
        <f>C7*C14</f>
        <v>#REF!</v>
      </c>
    </row>
    <row r="15" spans="2:4" ht="15.75" thickBot="1"/>
    <row r="16" spans="2:4">
      <c r="B16" s="312" t="s">
        <v>413</v>
      </c>
      <c r="C16" s="313"/>
      <c r="D16" s="314"/>
    </row>
    <row r="17" spans="2:4" ht="15.75" thickBot="1">
      <c r="B17" s="318"/>
      <c r="C17" s="319"/>
      <c r="D17" s="320"/>
    </row>
    <row r="18" spans="2:4">
      <c r="B18" s="103" t="s">
        <v>69</v>
      </c>
      <c r="C18" s="310" t="e">
        <f>SUM('1) Budget Tables'!D28:F28,'1) Budget Tables'!D32:F32,'1) Budget Tables'!D35:F35,'1) Budget Tables'!#REF!)</f>
        <v>#REF!</v>
      </c>
      <c r="D18" s="311"/>
    </row>
    <row r="19" spans="2:4">
      <c r="B19" s="103" t="s">
        <v>416</v>
      </c>
      <c r="C19" s="308" t="e">
        <f>SUM(D21:D25)</f>
        <v>#REF!</v>
      </c>
      <c r="D19" s="309"/>
    </row>
    <row r="20" spans="2:4">
      <c r="B20" s="104" t="s">
        <v>410</v>
      </c>
      <c r="C20" s="105" t="s">
        <v>411</v>
      </c>
      <c r="D20" s="106" t="s">
        <v>412</v>
      </c>
    </row>
    <row r="21" spans="2:4" ht="35.1" customHeight="1">
      <c r="B21" s="107"/>
      <c r="C21" s="108"/>
      <c r="D21" s="109" t="e">
        <f>$C$18*C21</f>
        <v>#REF!</v>
      </c>
    </row>
    <row r="22" spans="2:4" ht="35.1" customHeight="1">
      <c r="B22" s="110"/>
      <c r="C22" s="108"/>
      <c r="D22" s="109" t="e">
        <f t="shared" ref="D22:D25" si="0">$C$18*C22</f>
        <v>#REF!</v>
      </c>
    </row>
    <row r="23" spans="2:4" ht="35.1" customHeight="1">
      <c r="B23" s="111"/>
      <c r="C23" s="108"/>
      <c r="D23" s="109" t="e">
        <f t="shared" si="0"/>
        <v>#REF!</v>
      </c>
    </row>
    <row r="24" spans="2:4" ht="35.1" customHeight="1">
      <c r="B24" s="111"/>
      <c r="C24" s="108"/>
      <c r="D24" s="109" t="e">
        <f t="shared" si="0"/>
        <v>#REF!</v>
      </c>
    </row>
    <row r="25" spans="2:4" ht="35.1" customHeight="1" thickBot="1">
      <c r="B25" s="112"/>
      <c r="C25" s="113"/>
      <c r="D25" s="109" t="e">
        <f t="shared" si="0"/>
        <v>#REF!</v>
      </c>
    </row>
    <row r="26" spans="2:4" ht="15.75" thickBot="1"/>
    <row r="27" spans="2:4">
      <c r="B27" s="312" t="s">
        <v>414</v>
      </c>
      <c r="C27" s="313"/>
      <c r="D27" s="314"/>
    </row>
    <row r="28" spans="2:4" ht="15.75" thickBot="1">
      <c r="B28" s="315"/>
      <c r="C28" s="316"/>
      <c r="D28" s="317"/>
    </row>
    <row r="29" spans="2:4">
      <c r="B29" s="103" t="s">
        <v>69</v>
      </c>
      <c r="C29" s="310" t="e">
        <f>SUM('1) Budget Tables'!D40:F40,'1) Budget Tables'!D43:F43,'1) Budget Tables'!D46:F46,'1) Budget Tables'!#REF!)</f>
        <v>#REF!</v>
      </c>
      <c r="D29" s="311"/>
    </row>
    <row r="30" spans="2:4">
      <c r="B30" s="103" t="s">
        <v>416</v>
      </c>
      <c r="C30" s="308" t="e">
        <f>SUM(D32:D36)</f>
        <v>#REF!</v>
      </c>
      <c r="D30" s="309"/>
    </row>
    <row r="31" spans="2:4">
      <c r="B31" s="104" t="s">
        <v>410</v>
      </c>
      <c r="C31" s="105" t="s">
        <v>411</v>
      </c>
      <c r="D31" s="106" t="s">
        <v>412</v>
      </c>
    </row>
    <row r="32" spans="2:4" ht="35.1" customHeight="1">
      <c r="B32" s="107"/>
      <c r="C32" s="108"/>
      <c r="D32" s="109" t="e">
        <f>$C$29*C32</f>
        <v>#REF!</v>
      </c>
    </row>
    <row r="33" spans="2:4" ht="35.1" customHeight="1">
      <c r="B33" s="110"/>
      <c r="C33" s="108"/>
      <c r="D33" s="109" t="e">
        <f t="shared" ref="D33:D36" si="1">$C$29*C33</f>
        <v>#REF!</v>
      </c>
    </row>
    <row r="34" spans="2:4" ht="35.1" customHeight="1">
      <c r="B34" s="111"/>
      <c r="C34" s="108"/>
      <c r="D34" s="109" t="e">
        <f t="shared" si="1"/>
        <v>#REF!</v>
      </c>
    </row>
    <row r="35" spans="2:4" ht="35.1" customHeight="1">
      <c r="B35" s="111"/>
      <c r="C35" s="108"/>
      <c r="D35" s="109" t="e">
        <f t="shared" si="1"/>
        <v>#REF!</v>
      </c>
    </row>
    <row r="36" spans="2:4" ht="35.1" customHeight="1" thickBot="1">
      <c r="B36" s="112"/>
      <c r="C36" s="113"/>
      <c r="D36" s="109" t="e">
        <f t="shared" si="1"/>
        <v>#REF!</v>
      </c>
    </row>
    <row r="37" spans="2:4" ht="15.75" thickBot="1"/>
    <row r="38" spans="2:4">
      <c r="B38" s="312" t="s">
        <v>415</v>
      </c>
      <c r="C38" s="313"/>
      <c r="D38" s="314"/>
    </row>
    <row r="39" spans="2:4" ht="15.75" thickBot="1">
      <c r="B39" s="315"/>
      <c r="C39" s="316"/>
      <c r="D39" s="317"/>
    </row>
    <row r="40" spans="2:4">
      <c r="B40" s="103" t="s">
        <v>69</v>
      </c>
      <c r="C40" s="310" t="e">
        <f>SUM('1) Budget Tables'!#REF!,'1) Budget Tables'!#REF!,'1) Budget Tables'!#REF!,'1) Budget Tables'!#REF!)</f>
        <v>#REF!</v>
      </c>
      <c r="D40" s="311"/>
    </row>
    <row r="41" spans="2:4">
      <c r="B41" s="103" t="s">
        <v>416</v>
      </c>
      <c r="C41" s="308" t="e">
        <f>SUM(D43:D47)</f>
        <v>#REF!</v>
      </c>
      <c r="D41" s="309"/>
    </row>
    <row r="42" spans="2:4">
      <c r="B42" s="104" t="s">
        <v>410</v>
      </c>
      <c r="C42" s="105" t="s">
        <v>411</v>
      </c>
      <c r="D42" s="106" t="s">
        <v>412</v>
      </c>
    </row>
    <row r="43" spans="2:4" ht="35.1" customHeight="1">
      <c r="B43" s="107"/>
      <c r="C43" s="108"/>
      <c r="D43" s="109" t="e">
        <f>$C$40*C43</f>
        <v>#REF!</v>
      </c>
    </row>
    <row r="44" spans="2:4" ht="35.1" customHeight="1">
      <c r="B44" s="110"/>
      <c r="C44" s="108"/>
      <c r="D44" s="109" t="e">
        <f t="shared" ref="D44:D47" si="2">$C$40*C44</f>
        <v>#REF!</v>
      </c>
    </row>
    <row r="45" spans="2:4" ht="35.1" customHeight="1">
      <c r="B45" s="111"/>
      <c r="C45" s="108"/>
      <c r="D45" s="109" t="e">
        <f t="shared" si="2"/>
        <v>#REF!</v>
      </c>
    </row>
    <row r="46" spans="2:4" ht="35.1" customHeight="1">
      <c r="B46" s="111"/>
      <c r="C46" s="108"/>
      <c r="D46" s="109" t="e">
        <f t="shared" si="2"/>
        <v>#REF!</v>
      </c>
    </row>
    <row r="47" spans="2:4" ht="35.1" customHeight="1" thickBot="1">
      <c r="B47" s="112"/>
      <c r="C47" s="113"/>
      <c r="D47" s="114" t="e">
        <f t="shared" si="2"/>
        <v>#REF!</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4" priority="2" operator="greaterThan">
      <formula>$C$29</formula>
    </cfRule>
    <cfRule type="cellIs" dxfId="3" priority="5" operator="greaterThan">
      <formula>$C$29</formula>
    </cfRule>
  </conditionalFormatting>
  <conditionalFormatting sqref="C8:D8">
    <cfRule type="cellIs" dxfId="2" priority="4" operator="greaterThan">
      <formula>$C$7</formula>
    </cfRule>
  </conditionalFormatting>
  <conditionalFormatting sqref="C19:D19">
    <cfRule type="cellIs" dxfId="1" priority="3" operator="greaterThan">
      <formula>$C$18</formula>
    </cfRule>
  </conditionalFormatting>
  <conditionalFormatting sqref="C41:D41">
    <cfRule type="cellIs" dxfId="0"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Sheet2!$A$1:$A$170</xm:f>
          </x14:formula1>
          <xm:sqref>B10:B14 B21:B25 B32:B36 B43:B47</xm:sqref>
        </x14:dataValidation>
      </x14:dataValidations>
    </ext>
  </extLst>
</worksheet>
</file>

<file path=xl/worksheets/sheet5.xml><?xml version="1.0" encoding="utf-8"?>
<worksheet xmlns="http://schemas.openxmlformats.org/spreadsheetml/2006/main" xmlns:r="http://schemas.openxmlformats.org/officeDocument/2006/relationships">
  <sheetPr>
    <tabColor theme="0" tint="-0.34998626667073579"/>
  </sheetPr>
  <dimension ref="B1:F25"/>
  <sheetViews>
    <sheetView showGridLines="0" showZeros="0" zoomScale="80" zoomScaleNormal="80" workbookViewId="0">
      <selection activeCell="C37" sqref="C37"/>
    </sheetView>
  </sheetViews>
  <sheetFormatPr defaultColWidth="8.85546875" defaultRowHeight="15"/>
  <cols>
    <col min="1" max="1" width="12.42578125" customWidth="1"/>
    <col min="2" max="2" width="20.42578125" customWidth="1"/>
    <col min="3" max="3" width="25.42578125" customWidth="1"/>
    <col min="4" max="5" width="25.42578125" hidden="1"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row r="2" spans="2:6" s="96" customFormat="1" ht="15.75">
      <c r="B2" s="330" t="s">
        <v>35</v>
      </c>
      <c r="C2" s="331"/>
      <c r="D2" s="331"/>
      <c r="E2" s="331"/>
      <c r="F2" s="332"/>
    </row>
    <row r="3" spans="2:6" s="96" customFormat="1" ht="16.5" thickBot="1">
      <c r="B3" s="333"/>
      <c r="C3" s="334"/>
      <c r="D3" s="334"/>
      <c r="E3" s="334"/>
      <c r="F3" s="335"/>
    </row>
    <row r="4" spans="2:6" s="96" customFormat="1" ht="16.5" thickBot="1"/>
    <row r="5" spans="2:6" s="96" customFormat="1" ht="16.5" thickBot="1">
      <c r="B5" s="305" t="s">
        <v>17</v>
      </c>
      <c r="C5" s="307"/>
      <c r="D5" s="185"/>
      <c r="E5" s="185"/>
    </row>
    <row r="6" spans="2:6" s="96" customFormat="1" ht="15.75">
      <c r="B6" s="91"/>
      <c r="C6" s="188" t="s">
        <v>429</v>
      </c>
      <c r="D6" s="186" t="s">
        <v>53</v>
      </c>
      <c r="E6" s="75" t="s">
        <v>54</v>
      </c>
    </row>
    <row r="7" spans="2:6" s="96" customFormat="1" ht="15.75">
      <c r="B7" s="91"/>
      <c r="C7" s="189">
        <f>'1) Budget Tables'!D13</f>
        <v>0</v>
      </c>
      <c r="D7" s="187"/>
      <c r="E7" s="68"/>
    </row>
    <row r="8" spans="2:6" s="96" customFormat="1" ht="31.5">
      <c r="B8" s="26" t="s">
        <v>8</v>
      </c>
      <c r="C8" s="190">
        <f>'2) By Category'!D134</f>
        <v>154412.5</v>
      </c>
      <c r="D8" s="173" t="e">
        <f>'2) By Category'!E134</f>
        <v>#REF!</v>
      </c>
      <c r="E8" s="92" t="e">
        <f>'2) By Category'!F134</f>
        <v>#REF!</v>
      </c>
    </row>
    <row r="9" spans="2:6" s="96" customFormat="1" ht="47.25">
      <c r="B9" s="26" t="s">
        <v>9</v>
      </c>
      <c r="C9" s="190">
        <f>'2) By Category'!D135</f>
        <v>1499.6599999999999</v>
      </c>
      <c r="D9" s="173" t="e">
        <f>'2) By Category'!E135</f>
        <v>#REF!</v>
      </c>
      <c r="E9" s="92" t="e">
        <f>'2) By Category'!F135</f>
        <v>#REF!</v>
      </c>
    </row>
    <row r="10" spans="2:6" s="96" customFormat="1" ht="78.75">
      <c r="B10" s="26" t="s">
        <v>10</v>
      </c>
      <c r="C10" s="190">
        <f>'2) By Category'!D136</f>
        <v>6976.8000000000011</v>
      </c>
      <c r="D10" s="173" t="e">
        <f>'2) By Category'!E136</f>
        <v>#REF!</v>
      </c>
      <c r="E10" s="92" t="e">
        <f>'2) By Category'!F136</f>
        <v>#REF!</v>
      </c>
    </row>
    <row r="11" spans="2:6" s="96" customFormat="1" ht="31.5">
      <c r="B11" s="41" t="s">
        <v>11</v>
      </c>
      <c r="C11" s="190">
        <f>'2) By Category'!D137</f>
        <v>55122.350000000006</v>
      </c>
      <c r="D11" s="173" t="e">
        <f>'2) By Category'!E137</f>
        <v>#REF!</v>
      </c>
      <c r="E11" s="92" t="e">
        <f>'2) By Category'!F137</f>
        <v>#REF!</v>
      </c>
    </row>
    <row r="12" spans="2:6" s="96" customFormat="1" ht="15.75">
      <c r="B12" s="26" t="s">
        <v>16</v>
      </c>
      <c r="C12" s="190">
        <f>'2) By Category'!D138</f>
        <v>60611.14</v>
      </c>
      <c r="D12" s="173" t="e">
        <f>'2) By Category'!E138</f>
        <v>#REF!</v>
      </c>
      <c r="E12" s="92" t="e">
        <f>'2) By Category'!F138</f>
        <v>#REF!</v>
      </c>
    </row>
    <row r="13" spans="2:6" s="96" customFormat="1" ht="47.25">
      <c r="B13" s="26" t="s">
        <v>12</v>
      </c>
      <c r="C13" s="190">
        <f>'2) By Category'!D139</f>
        <v>0</v>
      </c>
      <c r="D13" s="173" t="e">
        <f>'2) By Category'!E139</f>
        <v>#REF!</v>
      </c>
      <c r="E13" s="92" t="e">
        <f>'2) By Category'!F139</f>
        <v>#REF!</v>
      </c>
    </row>
    <row r="14" spans="2:6" s="96" customFormat="1" ht="48" thickBot="1">
      <c r="B14" s="40" t="s">
        <v>57</v>
      </c>
      <c r="C14" s="191">
        <f>'2) By Category'!D140</f>
        <v>145815.38</v>
      </c>
      <c r="D14" s="174" t="e">
        <f>'2) By Category'!E140</f>
        <v>#REF!</v>
      </c>
      <c r="E14" s="95" t="e">
        <f>'2) By Category'!F140</f>
        <v>#REF!</v>
      </c>
    </row>
    <row r="15" spans="2:6" s="96" customFormat="1" ht="30" customHeight="1" thickBot="1">
      <c r="B15" s="199" t="s">
        <v>445</v>
      </c>
      <c r="C15" s="200">
        <f>SUM(C8:C14)</f>
        <v>424437.83</v>
      </c>
      <c r="D15" s="175" t="e">
        <f t="shared" ref="D15:E15" si="0">SUM(D8:D14)</f>
        <v>#REF!</v>
      </c>
      <c r="E15" s="93" t="e">
        <f t="shared" si="0"/>
        <v>#REF!</v>
      </c>
    </row>
    <row r="16" spans="2:6" s="96" customFormat="1" ht="30" customHeight="1">
      <c r="B16" s="182" t="s">
        <v>434</v>
      </c>
      <c r="C16" s="201">
        <f>C15*0.07</f>
        <v>29710.648100000002</v>
      </c>
      <c r="D16" s="172"/>
      <c r="E16" s="172"/>
    </row>
    <row r="17" spans="2:6" s="96" customFormat="1" ht="30" customHeight="1" thickBot="1">
      <c r="B17" s="178" t="s">
        <v>34</v>
      </c>
      <c r="C17" s="198">
        <f>SUM(C15:C16)</f>
        <v>454148.47810000001</v>
      </c>
      <c r="D17" s="172"/>
      <c r="E17" s="172"/>
    </row>
    <row r="18" spans="2:6" s="96" customFormat="1" ht="16.5" thickBot="1"/>
    <row r="19" spans="2:6" s="96" customFormat="1" ht="15.75">
      <c r="B19" s="327" t="s">
        <v>27</v>
      </c>
      <c r="C19" s="328"/>
      <c r="D19" s="328"/>
      <c r="E19" s="328"/>
      <c r="F19" s="329"/>
    </row>
    <row r="20" spans="2:6" ht="15.75">
      <c r="B20" s="35"/>
      <c r="C20" s="33" t="s">
        <v>429</v>
      </c>
      <c r="D20" s="33" t="s">
        <v>55</v>
      </c>
      <c r="E20" s="33" t="s">
        <v>56</v>
      </c>
      <c r="F20" s="36" t="s">
        <v>29</v>
      </c>
    </row>
    <row r="21" spans="2:6" ht="15.75">
      <c r="B21" s="35"/>
      <c r="C21" s="33">
        <f>'1) Budget Tables'!D13</f>
        <v>0</v>
      </c>
      <c r="D21" s="33"/>
      <c r="E21" s="33"/>
      <c r="F21" s="36"/>
    </row>
    <row r="22" spans="2:6" ht="23.25" customHeight="1">
      <c r="B22" s="34" t="s">
        <v>28</v>
      </c>
      <c r="C22" s="225">
        <f>'1) Budget Tables'!D72</f>
        <v>158951.96733499999</v>
      </c>
      <c r="D22" s="32" t="e">
        <f>'1) Budget Tables'!E72</f>
        <v>#REF!</v>
      </c>
      <c r="E22" s="32" t="e">
        <f>'1) Budget Tables'!F72</f>
        <v>#REF!</v>
      </c>
      <c r="F22" s="13">
        <f>'1) Budget Tables'!H72</f>
        <v>0.35</v>
      </c>
    </row>
    <row r="23" spans="2:6" ht="24.75" customHeight="1">
      <c r="B23" s="34" t="s">
        <v>30</v>
      </c>
      <c r="C23" s="225">
        <f>'1) Budget Tables'!D73</f>
        <v>158951.96733499999</v>
      </c>
      <c r="D23" s="32" t="e">
        <f>'1) Budget Tables'!E73</f>
        <v>#REF!</v>
      </c>
      <c r="E23" s="32" t="e">
        <f>'1) Budget Tables'!F73</f>
        <v>#REF!</v>
      </c>
      <c r="F23" s="13">
        <f>'1) Budget Tables'!H73</f>
        <v>0.35</v>
      </c>
    </row>
    <row r="24" spans="2:6" ht="24.75" customHeight="1">
      <c r="B24" s="34" t="s">
        <v>432</v>
      </c>
      <c r="C24" s="225">
        <f>'1) Budget Tables'!D74</f>
        <v>136244.54342999999</v>
      </c>
      <c r="D24" s="32"/>
      <c r="E24" s="32"/>
      <c r="F24" s="13">
        <f>'1) Budget Tables'!H74</f>
        <v>0.3</v>
      </c>
    </row>
    <row r="25" spans="2:6" ht="16.5" thickBot="1">
      <c r="B25" s="14" t="s">
        <v>435</v>
      </c>
      <c r="C25" s="222">
        <f>'1) Budget Tables'!D75</f>
        <v>454148.47809999995</v>
      </c>
      <c r="D25" s="223"/>
      <c r="E25" s="223"/>
      <c r="F25" s="224"/>
    </row>
  </sheetData>
  <sheetProtection sheet="1" formatCells="0" formatColumns="0" formatRows="0"/>
  <mergeCells count="3">
    <mergeCell ref="B19:F19"/>
    <mergeCell ref="B2:F3"/>
    <mergeCell ref="B5:C5"/>
  </mergeCells>
  <dataValidations count="7">
    <dataValidation allowBlank="1" showInputMessage="1" showErrorMessage="1" prompt="Includes all related staff and temporary staff costs including base salary, post adjustment and all staff entitlements." sqref="B8"/>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dataValidation allowBlank="1" showInputMessage="1" showErrorMessage="1" prompt="Includes staff and non-staff travel paid for by the organization directly related to a project." sqref="B12"/>
    <dataValidation allowBlank="1" showInputMessage="1" showErrorMessage="1" prompt="Services contracted by an organization which follow the normal procurement processes." sqref="B11"/>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dataValidation allowBlank="1" showInputMessage="1" showErrorMessage="1" prompt=" Includes all general operating costs for running an office. Examples include telecommunication, rents, finance charges and other costs which cannot be mapped to other expense categories." sqref="B14"/>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Tables'!$D$200</xm:f>
            <x14:dxf>
              <font>
                <color rgb="FF9C0006"/>
              </font>
              <fill>
                <patternFill>
                  <bgColor rgb="FFFFC7CE"/>
                </patternFill>
              </fill>
            </x14:dxf>
          </x14:cfRule>
          <xm:sqref>C17</xm:sqref>
        </x14:conditionalFormatting>
      </x14:conditionalFormattings>
    </ext>
  </extLst>
</worksheet>
</file>

<file path=xl/worksheets/sheet6.xml><?xml version="1.0" encoding="utf-8"?>
<worksheet xmlns="http://schemas.openxmlformats.org/spreadsheetml/2006/main" xmlns:r="http://schemas.openxmlformats.org/officeDocument/2006/relationships">
  <dimension ref="A1:B170"/>
  <sheetViews>
    <sheetView topLeftCell="A148" workbookViewId="0">
      <selection activeCell="D3" sqref="D3"/>
    </sheetView>
  </sheetViews>
  <sheetFormatPr defaultColWidth="8.85546875" defaultRowHeight="15"/>
  <sheetData>
    <row r="1" spans="1:2">
      <c r="A1" s="97" t="s">
        <v>70</v>
      </c>
      <c r="B1" s="98" t="s">
        <v>71</v>
      </c>
    </row>
    <row r="2" spans="1:2">
      <c r="A2" s="99" t="s">
        <v>72</v>
      </c>
      <c r="B2" s="100" t="s">
        <v>73</v>
      </c>
    </row>
    <row r="3" spans="1:2">
      <c r="A3" s="99" t="s">
        <v>74</v>
      </c>
      <c r="B3" s="100" t="s">
        <v>75</v>
      </c>
    </row>
    <row r="4" spans="1:2">
      <c r="A4" s="99" t="s">
        <v>76</v>
      </c>
      <c r="B4" s="100" t="s">
        <v>77</v>
      </c>
    </row>
    <row r="5" spans="1:2">
      <c r="A5" s="99" t="s">
        <v>78</v>
      </c>
      <c r="B5" s="100" t="s">
        <v>79</v>
      </c>
    </row>
    <row r="6" spans="1:2">
      <c r="A6" s="99" t="s">
        <v>80</v>
      </c>
      <c r="B6" s="100" t="s">
        <v>81</v>
      </c>
    </row>
    <row r="7" spans="1:2">
      <c r="A7" s="99" t="s">
        <v>82</v>
      </c>
      <c r="B7" s="100" t="s">
        <v>83</v>
      </c>
    </row>
    <row r="8" spans="1:2">
      <c r="A8" s="99" t="s">
        <v>84</v>
      </c>
      <c r="B8" s="100" t="s">
        <v>85</v>
      </c>
    </row>
    <row r="9" spans="1:2">
      <c r="A9" s="99" t="s">
        <v>86</v>
      </c>
      <c r="B9" s="100" t="s">
        <v>87</v>
      </c>
    </row>
    <row r="10" spans="1:2">
      <c r="A10" s="99" t="s">
        <v>88</v>
      </c>
      <c r="B10" s="100" t="s">
        <v>89</v>
      </c>
    </row>
    <row r="11" spans="1:2">
      <c r="A11" s="99" t="s">
        <v>90</v>
      </c>
      <c r="B11" s="100" t="s">
        <v>91</v>
      </c>
    </row>
    <row r="12" spans="1:2">
      <c r="A12" s="99" t="s">
        <v>92</v>
      </c>
      <c r="B12" s="100" t="s">
        <v>93</v>
      </c>
    </row>
    <row r="13" spans="1:2">
      <c r="A13" s="99" t="s">
        <v>94</v>
      </c>
      <c r="B13" s="100" t="s">
        <v>95</v>
      </c>
    </row>
    <row r="14" spans="1:2">
      <c r="A14" s="99" t="s">
        <v>96</v>
      </c>
      <c r="B14" s="100" t="s">
        <v>97</v>
      </c>
    </row>
    <row r="15" spans="1:2">
      <c r="A15" s="99" t="s">
        <v>98</v>
      </c>
      <c r="B15" s="100" t="s">
        <v>99</v>
      </c>
    </row>
    <row r="16" spans="1:2">
      <c r="A16" s="99" t="s">
        <v>100</v>
      </c>
      <c r="B16" s="100" t="s">
        <v>101</v>
      </c>
    </row>
    <row r="17" spans="1:2">
      <c r="A17" s="99" t="s">
        <v>102</v>
      </c>
      <c r="B17" s="100" t="s">
        <v>103</v>
      </c>
    </row>
    <row r="18" spans="1:2">
      <c r="A18" s="99" t="s">
        <v>104</v>
      </c>
      <c r="B18" s="100" t="s">
        <v>105</v>
      </c>
    </row>
    <row r="19" spans="1:2">
      <c r="A19" s="99" t="s">
        <v>106</v>
      </c>
      <c r="B19" s="100" t="s">
        <v>107</v>
      </c>
    </row>
    <row r="20" spans="1:2">
      <c r="A20" s="99" t="s">
        <v>108</v>
      </c>
      <c r="B20" s="100" t="s">
        <v>109</v>
      </c>
    </row>
    <row r="21" spans="1:2">
      <c r="A21" s="99" t="s">
        <v>110</v>
      </c>
      <c r="B21" s="100" t="s">
        <v>111</v>
      </c>
    </row>
    <row r="22" spans="1:2">
      <c r="A22" s="99" t="s">
        <v>112</v>
      </c>
      <c r="B22" s="100" t="s">
        <v>113</v>
      </c>
    </row>
    <row r="23" spans="1:2">
      <c r="A23" s="99" t="s">
        <v>114</v>
      </c>
      <c r="B23" s="100" t="s">
        <v>115</v>
      </c>
    </row>
    <row r="24" spans="1:2">
      <c r="A24" s="99" t="s">
        <v>116</v>
      </c>
      <c r="B24" s="100" t="s">
        <v>117</v>
      </c>
    </row>
    <row r="25" spans="1:2">
      <c r="A25" s="99" t="s">
        <v>118</v>
      </c>
      <c r="B25" s="100" t="s">
        <v>119</v>
      </c>
    </row>
    <row r="26" spans="1:2">
      <c r="A26" s="99" t="s">
        <v>120</v>
      </c>
      <c r="B26" s="100" t="s">
        <v>121</v>
      </c>
    </row>
    <row r="27" spans="1:2">
      <c r="A27" s="99" t="s">
        <v>122</v>
      </c>
      <c r="B27" s="100" t="s">
        <v>123</v>
      </c>
    </row>
    <row r="28" spans="1:2">
      <c r="A28" s="99" t="s">
        <v>124</v>
      </c>
      <c r="B28" s="100" t="s">
        <v>125</v>
      </c>
    </row>
    <row r="29" spans="1:2">
      <c r="A29" s="99" t="s">
        <v>126</v>
      </c>
      <c r="B29" s="100" t="s">
        <v>127</v>
      </c>
    </row>
    <row r="30" spans="1:2">
      <c r="A30" s="99" t="s">
        <v>128</v>
      </c>
      <c r="B30" s="100" t="s">
        <v>129</v>
      </c>
    </row>
    <row r="31" spans="1:2">
      <c r="A31" s="99" t="s">
        <v>130</v>
      </c>
      <c r="B31" s="100" t="s">
        <v>131</v>
      </c>
    </row>
    <row r="32" spans="1:2">
      <c r="A32" s="99" t="s">
        <v>132</v>
      </c>
      <c r="B32" s="100" t="s">
        <v>133</v>
      </c>
    </row>
    <row r="33" spans="1:2">
      <c r="A33" s="99" t="s">
        <v>134</v>
      </c>
      <c r="B33" s="100" t="s">
        <v>135</v>
      </c>
    </row>
    <row r="34" spans="1:2">
      <c r="A34" s="99" t="s">
        <v>136</v>
      </c>
      <c r="B34" s="100" t="s">
        <v>137</v>
      </c>
    </row>
    <row r="35" spans="1:2">
      <c r="A35" s="99" t="s">
        <v>138</v>
      </c>
      <c r="B35" s="100" t="s">
        <v>139</v>
      </c>
    </row>
    <row r="36" spans="1:2">
      <c r="A36" s="99" t="s">
        <v>140</v>
      </c>
      <c r="B36" s="100" t="s">
        <v>141</v>
      </c>
    </row>
    <row r="37" spans="1:2">
      <c r="A37" s="99" t="s">
        <v>142</v>
      </c>
      <c r="B37" s="100" t="s">
        <v>143</v>
      </c>
    </row>
    <row r="38" spans="1:2">
      <c r="A38" s="99" t="s">
        <v>144</v>
      </c>
      <c r="B38" s="100" t="s">
        <v>145</v>
      </c>
    </row>
    <row r="39" spans="1:2">
      <c r="A39" s="99" t="s">
        <v>146</v>
      </c>
      <c r="B39" s="100" t="s">
        <v>147</v>
      </c>
    </row>
    <row r="40" spans="1:2">
      <c r="A40" s="99" t="s">
        <v>148</v>
      </c>
      <c r="B40" s="100" t="s">
        <v>149</v>
      </c>
    </row>
    <row r="41" spans="1:2">
      <c r="A41" s="99" t="s">
        <v>150</v>
      </c>
      <c r="B41" s="100" t="s">
        <v>151</v>
      </c>
    </row>
    <row r="42" spans="1:2">
      <c r="A42" s="99" t="s">
        <v>152</v>
      </c>
      <c r="B42" s="100" t="s">
        <v>153</v>
      </c>
    </row>
    <row r="43" spans="1:2">
      <c r="A43" s="99" t="s">
        <v>154</v>
      </c>
      <c r="B43" s="100" t="s">
        <v>155</v>
      </c>
    </row>
    <row r="44" spans="1:2">
      <c r="A44" s="99" t="s">
        <v>156</v>
      </c>
      <c r="B44" s="100" t="s">
        <v>157</v>
      </c>
    </row>
    <row r="45" spans="1:2">
      <c r="A45" s="99" t="s">
        <v>158</v>
      </c>
      <c r="B45" s="100" t="s">
        <v>159</v>
      </c>
    </row>
    <row r="46" spans="1:2">
      <c r="A46" s="99" t="s">
        <v>160</v>
      </c>
      <c r="B46" s="100" t="s">
        <v>161</v>
      </c>
    </row>
    <row r="47" spans="1:2">
      <c r="A47" s="99" t="s">
        <v>162</v>
      </c>
      <c r="B47" s="100" t="s">
        <v>163</v>
      </c>
    </row>
    <row r="48" spans="1:2">
      <c r="A48" s="99" t="s">
        <v>164</v>
      </c>
      <c r="B48" s="100" t="s">
        <v>165</v>
      </c>
    </row>
    <row r="49" spans="1:2">
      <c r="A49" s="99" t="s">
        <v>166</v>
      </c>
      <c r="B49" s="100" t="s">
        <v>167</v>
      </c>
    </row>
    <row r="50" spans="1:2">
      <c r="A50" s="99" t="s">
        <v>168</v>
      </c>
      <c r="B50" s="100" t="s">
        <v>169</v>
      </c>
    </row>
    <row r="51" spans="1:2">
      <c r="A51" s="99" t="s">
        <v>170</v>
      </c>
      <c r="B51" s="100" t="s">
        <v>171</v>
      </c>
    </row>
    <row r="52" spans="1:2">
      <c r="A52" s="99" t="s">
        <v>172</v>
      </c>
      <c r="B52" s="100" t="s">
        <v>173</v>
      </c>
    </row>
    <row r="53" spans="1:2">
      <c r="A53" s="99" t="s">
        <v>174</v>
      </c>
      <c r="B53" s="100" t="s">
        <v>175</v>
      </c>
    </row>
    <row r="54" spans="1:2">
      <c r="A54" s="99" t="s">
        <v>176</v>
      </c>
      <c r="B54" s="100" t="s">
        <v>177</v>
      </c>
    </row>
    <row r="55" spans="1:2">
      <c r="A55" s="99" t="s">
        <v>178</v>
      </c>
      <c r="B55" s="100" t="s">
        <v>179</v>
      </c>
    </row>
    <row r="56" spans="1:2">
      <c r="A56" s="99" t="s">
        <v>180</v>
      </c>
      <c r="B56" s="100" t="s">
        <v>181</v>
      </c>
    </row>
    <row r="57" spans="1:2">
      <c r="A57" s="99" t="s">
        <v>182</v>
      </c>
      <c r="B57" s="100" t="s">
        <v>183</v>
      </c>
    </row>
    <row r="58" spans="1:2">
      <c r="A58" s="99" t="s">
        <v>184</v>
      </c>
      <c r="B58" s="100" t="s">
        <v>185</v>
      </c>
    </row>
    <row r="59" spans="1:2">
      <c r="A59" s="99" t="s">
        <v>186</v>
      </c>
      <c r="B59" s="100" t="s">
        <v>187</v>
      </c>
    </row>
    <row r="60" spans="1:2">
      <c r="A60" s="99" t="s">
        <v>188</v>
      </c>
      <c r="B60" s="100" t="s">
        <v>189</v>
      </c>
    </row>
    <row r="61" spans="1:2">
      <c r="A61" s="99" t="s">
        <v>190</v>
      </c>
      <c r="B61" s="100" t="s">
        <v>191</v>
      </c>
    </row>
    <row r="62" spans="1:2">
      <c r="A62" s="99" t="s">
        <v>192</v>
      </c>
      <c r="B62" s="100" t="s">
        <v>193</v>
      </c>
    </row>
    <row r="63" spans="1:2">
      <c r="A63" s="99" t="s">
        <v>194</v>
      </c>
      <c r="B63" s="100" t="s">
        <v>195</v>
      </c>
    </row>
    <row r="64" spans="1:2">
      <c r="A64" s="99" t="s">
        <v>196</v>
      </c>
      <c r="B64" s="100" t="s">
        <v>197</v>
      </c>
    </row>
    <row r="65" spans="1:2">
      <c r="A65" s="99" t="s">
        <v>198</v>
      </c>
      <c r="B65" s="100" t="s">
        <v>199</v>
      </c>
    </row>
    <row r="66" spans="1:2">
      <c r="A66" s="99" t="s">
        <v>200</v>
      </c>
      <c r="B66" s="100" t="s">
        <v>201</v>
      </c>
    </row>
    <row r="67" spans="1:2">
      <c r="A67" s="99" t="s">
        <v>202</v>
      </c>
      <c r="B67" s="100" t="s">
        <v>203</v>
      </c>
    </row>
    <row r="68" spans="1:2">
      <c r="A68" s="99" t="s">
        <v>204</v>
      </c>
      <c r="B68" s="100" t="s">
        <v>205</v>
      </c>
    </row>
    <row r="69" spans="1:2">
      <c r="A69" s="99" t="s">
        <v>206</v>
      </c>
      <c r="B69" s="100" t="s">
        <v>207</v>
      </c>
    </row>
    <row r="70" spans="1:2">
      <c r="A70" s="99" t="s">
        <v>208</v>
      </c>
      <c r="B70" s="100" t="s">
        <v>209</v>
      </c>
    </row>
    <row r="71" spans="1:2">
      <c r="A71" s="99" t="s">
        <v>210</v>
      </c>
      <c r="B71" s="100" t="s">
        <v>211</v>
      </c>
    </row>
    <row r="72" spans="1:2">
      <c r="A72" s="99" t="s">
        <v>212</v>
      </c>
      <c r="B72" s="100" t="s">
        <v>213</v>
      </c>
    </row>
    <row r="73" spans="1:2">
      <c r="A73" s="99" t="s">
        <v>214</v>
      </c>
      <c r="B73" s="100" t="s">
        <v>215</v>
      </c>
    </row>
    <row r="74" spans="1:2">
      <c r="A74" s="99" t="s">
        <v>216</v>
      </c>
      <c r="B74" s="100" t="s">
        <v>217</v>
      </c>
    </row>
    <row r="75" spans="1:2">
      <c r="A75" s="99" t="s">
        <v>218</v>
      </c>
      <c r="B75" s="101" t="s">
        <v>219</v>
      </c>
    </row>
    <row r="76" spans="1:2">
      <c r="A76" s="99" t="s">
        <v>220</v>
      </c>
      <c r="B76" s="101" t="s">
        <v>221</v>
      </c>
    </row>
    <row r="77" spans="1:2">
      <c r="A77" s="99" t="s">
        <v>222</v>
      </c>
      <c r="B77" s="101" t="s">
        <v>223</v>
      </c>
    </row>
    <row r="78" spans="1:2">
      <c r="A78" s="99" t="s">
        <v>224</v>
      </c>
      <c r="B78" s="101" t="s">
        <v>225</v>
      </c>
    </row>
    <row r="79" spans="1:2">
      <c r="A79" s="99" t="s">
        <v>226</v>
      </c>
      <c r="B79" s="101" t="s">
        <v>227</v>
      </c>
    </row>
    <row r="80" spans="1:2">
      <c r="A80" s="99" t="s">
        <v>228</v>
      </c>
      <c r="B80" s="101" t="s">
        <v>229</v>
      </c>
    </row>
    <row r="81" spans="1:2">
      <c r="A81" s="99" t="s">
        <v>230</v>
      </c>
      <c r="B81" s="101" t="s">
        <v>231</v>
      </c>
    </row>
    <row r="82" spans="1:2">
      <c r="A82" s="99" t="s">
        <v>232</v>
      </c>
      <c r="B82" s="101" t="s">
        <v>233</v>
      </c>
    </row>
    <row r="83" spans="1:2">
      <c r="A83" s="99" t="s">
        <v>234</v>
      </c>
      <c r="B83" s="101" t="s">
        <v>235</v>
      </c>
    </row>
    <row r="84" spans="1:2">
      <c r="A84" s="99" t="s">
        <v>236</v>
      </c>
      <c r="B84" s="101" t="s">
        <v>237</v>
      </c>
    </row>
    <row r="85" spans="1:2">
      <c r="A85" s="99" t="s">
        <v>238</v>
      </c>
      <c r="B85" s="101" t="s">
        <v>239</v>
      </c>
    </row>
    <row r="86" spans="1:2">
      <c r="A86" s="99" t="s">
        <v>240</v>
      </c>
      <c r="B86" s="101" t="s">
        <v>241</v>
      </c>
    </row>
    <row r="87" spans="1:2">
      <c r="A87" s="99" t="s">
        <v>242</v>
      </c>
      <c r="B87" s="101" t="s">
        <v>243</v>
      </c>
    </row>
    <row r="88" spans="1:2">
      <c r="A88" s="99" t="s">
        <v>244</v>
      </c>
      <c r="B88" s="101" t="s">
        <v>245</v>
      </c>
    </row>
    <row r="89" spans="1:2">
      <c r="A89" s="99" t="s">
        <v>246</v>
      </c>
      <c r="B89" s="101" t="s">
        <v>247</v>
      </c>
    </row>
    <row r="90" spans="1:2">
      <c r="A90" s="99" t="s">
        <v>248</v>
      </c>
      <c r="B90" s="101" t="s">
        <v>249</v>
      </c>
    </row>
    <row r="91" spans="1:2">
      <c r="A91" s="99" t="s">
        <v>250</v>
      </c>
      <c r="B91" s="101" t="s">
        <v>251</v>
      </c>
    </row>
    <row r="92" spans="1:2">
      <c r="A92" s="99" t="s">
        <v>252</v>
      </c>
      <c r="B92" s="101" t="s">
        <v>253</v>
      </c>
    </row>
    <row r="93" spans="1:2">
      <c r="A93" s="99" t="s">
        <v>254</v>
      </c>
      <c r="B93" s="101" t="s">
        <v>255</v>
      </c>
    </row>
    <row r="94" spans="1:2">
      <c r="A94" s="99" t="s">
        <v>256</v>
      </c>
      <c r="B94" s="101" t="s">
        <v>257</v>
      </c>
    </row>
    <row r="95" spans="1:2">
      <c r="A95" s="99" t="s">
        <v>258</v>
      </c>
      <c r="B95" s="101" t="s">
        <v>259</v>
      </c>
    </row>
    <row r="96" spans="1:2">
      <c r="A96" s="99" t="s">
        <v>260</v>
      </c>
      <c r="B96" s="101" t="s">
        <v>261</v>
      </c>
    </row>
    <row r="97" spans="1:2">
      <c r="A97" s="99" t="s">
        <v>262</v>
      </c>
      <c r="B97" s="101" t="s">
        <v>263</v>
      </c>
    </row>
    <row r="98" spans="1:2">
      <c r="A98" s="99" t="s">
        <v>264</v>
      </c>
      <c r="B98" s="101" t="s">
        <v>265</v>
      </c>
    </row>
    <row r="99" spans="1:2">
      <c r="A99" s="99" t="s">
        <v>266</v>
      </c>
      <c r="B99" s="101" t="s">
        <v>267</v>
      </c>
    </row>
    <row r="100" spans="1:2">
      <c r="A100" s="99" t="s">
        <v>268</v>
      </c>
      <c r="B100" s="101" t="s">
        <v>269</v>
      </c>
    </row>
    <row r="101" spans="1:2">
      <c r="A101" s="99" t="s">
        <v>270</v>
      </c>
      <c r="B101" s="101" t="s">
        <v>271</v>
      </c>
    </row>
    <row r="102" spans="1:2">
      <c r="A102" s="99" t="s">
        <v>272</v>
      </c>
      <c r="B102" s="101" t="s">
        <v>273</v>
      </c>
    </row>
    <row r="103" spans="1:2">
      <c r="A103" s="99" t="s">
        <v>274</v>
      </c>
      <c r="B103" s="101" t="s">
        <v>275</v>
      </c>
    </row>
    <row r="104" spans="1:2">
      <c r="A104" s="99" t="s">
        <v>276</v>
      </c>
      <c r="B104" s="101" t="s">
        <v>277</v>
      </c>
    </row>
    <row r="105" spans="1:2">
      <c r="A105" s="99" t="s">
        <v>278</v>
      </c>
      <c r="B105" s="101" t="s">
        <v>279</v>
      </c>
    </row>
    <row r="106" spans="1:2">
      <c r="A106" s="99" t="s">
        <v>280</v>
      </c>
      <c r="B106" s="101" t="s">
        <v>281</v>
      </c>
    </row>
    <row r="107" spans="1:2">
      <c r="A107" s="99" t="s">
        <v>282</v>
      </c>
      <c r="B107" s="101" t="s">
        <v>283</v>
      </c>
    </row>
    <row r="108" spans="1:2">
      <c r="A108" s="99" t="s">
        <v>284</v>
      </c>
      <c r="B108" s="101" t="s">
        <v>285</v>
      </c>
    </row>
    <row r="109" spans="1:2">
      <c r="A109" s="99" t="s">
        <v>286</v>
      </c>
      <c r="B109" s="101" t="s">
        <v>287</v>
      </c>
    </row>
    <row r="110" spans="1:2">
      <c r="A110" s="99" t="s">
        <v>288</v>
      </c>
      <c r="B110" s="101" t="s">
        <v>289</v>
      </c>
    </row>
    <row r="111" spans="1:2">
      <c r="A111" s="99" t="s">
        <v>290</v>
      </c>
      <c r="B111" s="101" t="s">
        <v>291</v>
      </c>
    </row>
    <row r="112" spans="1:2">
      <c r="A112" s="99" t="s">
        <v>292</v>
      </c>
      <c r="B112" s="101" t="s">
        <v>293</v>
      </c>
    </row>
    <row r="113" spans="1:2">
      <c r="A113" s="99" t="s">
        <v>294</v>
      </c>
      <c r="B113" s="101" t="s">
        <v>295</v>
      </c>
    </row>
    <row r="114" spans="1:2">
      <c r="A114" s="99" t="s">
        <v>296</v>
      </c>
      <c r="B114" s="101" t="s">
        <v>297</v>
      </c>
    </row>
    <row r="115" spans="1:2">
      <c r="A115" s="99" t="s">
        <v>298</v>
      </c>
      <c r="B115" s="101" t="s">
        <v>299</v>
      </c>
    </row>
    <row r="116" spans="1:2">
      <c r="A116" s="99" t="s">
        <v>300</v>
      </c>
      <c r="B116" s="101" t="s">
        <v>301</v>
      </c>
    </row>
    <row r="117" spans="1:2">
      <c r="A117" s="99" t="s">
        <v>302</v>
      </c>
      <c r="B117" s="101" t="s">
        <v>303</v>
      </c>
    </row>
    <row r="118" spans="1:2">
      <c r="A118" s="99" t="s">
        <v>304</v>
      </c>
      <c r="B118" s="101" t="s">
        <v>305</v>
      </c>
    </row>
    <row r="119" spans="1:2">
      <c r="A119" s="99" t="s">
        <v>306</v>
      </c>
      <c r="B119" s="101" t="s">
        <v>307</v>
      </c>
    </row>
    <row r="120" spans="1:2">
      <c r="A120" s="99" t="s">
        <v>308</v>
      </c>
      <c r="B120" s="101" t="s">
        <v>309</v>
      </c>
    </row>
    <row r="121" spans="1:2">
      <c r="A121" s="99" t="s">
        <v>310</v>
      </c>
      <c r="B121" s="101" t="s">
        <v>311</v>
      </c>
    </row>
    <row r="122" spans="1:2">
      <c r="A122" s="99" t="s">
        <v>312</v>
      </c>
      <c r="B122" s="101" t="s">
        <v>313</v>
      </c>
    </row>
    <row r="123" spans="1:2">
      <c r="A123" s="99" t="s">
        <v>314</v>
      </c>
      <c r="B123" s="101" t="s">
        <v>315</v>
      </c>
    </row>
    <row r="124" spans="1:2">
      <c r="A124" s="99" t="s">
        <v>316</v>
      </c>
      <c r="B124" s="101" t="s">
        <v>317</v>
      </c>
    </row>
    <row r="125" spans="1:2">
      <c r="A125" s="99" t="s">
        <v>318</v>
      </c>
      <c r="B125" s="101" t="s">
        <v>319</v>
      </c>
    </row>
    <row r="126" spans="1:2">
      <c r="A126" s="99" t="s">
        <v>320</v>
      </c>
      <c r="B126" s="101" t="s">
        <v>321</v>
      </c>
    </row>
    <row r="127" spans="1:2">
      <c r="A127" s="99" t="s">
        <v>322</v>
      </c>
      <c r="B127" s="101" t="s">
        <v>323</v>
      </c>
    </row>
    <row r="128" spans="1:2">
      <c r="A128" s="99" t="s">
        <v>324</v>
      </c>
      <c r="B128" s="101" t="s">
        <v>325</v>
      </c>
    </row>
    <row r="129" spans="1:2">
      <c r="A129" s="99" t="s">
        <v>326</v>
      </c>
      <c r="B129" s="101" t="s">
        <v>327</v>
      </c>
    </row>
    <row r="130" spans="1:2">
      <c r="A130" s="99" t="s">
        <v>328</v>
      </c>
      <c r="B130" s="101" t="s">
        <v>329</v>
      </c>
    </row>
    <row r="131" spans="1:2">
      <c r="A131" s="99" t="s">
        <v>330</v>
      </c>
      <c r="B131" s="101" t="s">
        <v>331</v>
      </c>
    </row>
    <row r="132" spans="1:2">
      <c r="A132" s="99" t="s">
        <v>332</v>
      </c>
      <c r="B132" s="101" t="s">
        <v>333</v>
      </c>
    </row>
    <row r="133" spans="1:2">
      <c r="A133" s="99" t="s">
        <v>334</v>
      </c>
      <c r="B133" s="101" t="s">
        <v>335</v>
      </c>
    </row>
    <row r="134" spans="1:2">
      <c r="A134" s="99" t="s">
        <v>336</v>
      </c>
      <c r="B134" s="101" t="s">
        <v>337</v>
      </c>
    </row>
    <row r="135" spans="1:2">
      <c r="A135" s="99" t="s">
        <v>338</v>
      </c>
      <c r="B135" s="101" t="s">
        <v>339</v>
      </c>
    </row>
    <row r="136" spans="1:2">
      <c r="A136" s="99" t="s">
        <v>340</v>
      </c>
      <c r="B136" s="101" t="s">
        <v>341</v>
      </c>
    </row>
    <row r="137" spans="1:2">
      <c r="A137" s="99" t="s">
        <v>342</v>
      </c>
      <c r="B137" s="101" t="s">
        <v>343</v>
      </c>
    </row>
    <row r="138" spans="1:2">
      <c r="A138" s="99" t="s">
        <v>344</v>
      </c>
      <c r="B138" s="101" t="s">
        <v>345</v>
      </c>
    </row>
    <row r="139" spans="1:2">
      <c r="A139" s="99" t="s">
        <v>346</v>
      </c>
      <c r="B139" s="101" t="s">
        <v>347</v>
      </c>
    </row>
    <row r="140" spans="1:2">
      <c r="A140" s="99" t="s">
        <v>348</v>
      </c>
      <c r="B140" s="101" t="s">
        <v>349</v>
      </c>
    </row>
    <row r="141" spans="1:2">
      <c r="A141" s="99" t="s">
        <v>350</v>
      </c>
      <c r="B141" s="101" t="s">
        <v>351</v>
      </c>
    </row>
    <row r="142" spans="1:2">
      <c r="A142" s="99" t="s">
        <v>352</v>
      </c>
      <c r="B142" s="101" t="s">
        <v>353</v>
      </c>
    </row>
    <row r="143" spans="1:2">
      <c r="A143" s="99" t="s">
        <v>354</v>
      </c>
      <c r="B143" s="101" t="s">
        <v>355</v>
      </c>
    </row>
    <row r="144" spans="1:2">
      <c r="A144" s="99" t="s">
        <v>356</v>
      </c>
      <c r="B144" s="102" t="s">
        <v>357</v>
      </c>
    </row>
    <row r="145" spans="1:2">
      <c r="A145" s="99" t="s">
        <v>358</v>
      </c>
      <c r="B145" s="101" t="s">
        <v>359</v>
      </c>
    </row>
    <row r="146" spans="1:2">
      <c r="A146" s="99" t="s">
        <v>360</v>
      </c>
      <c r="B146" s="101" t="s">
        <v>361</v>
      </c>
    </row>
    <row r="147" spans="1:2">
      <c r="A147" s="99" t="s">
        <v>362</v>
      </c>
      <c r="B147" s="101" t="s">
        <v>363</v>
      </c>
    </row>
    <row r="148" spans="1:2">
      <c r="A148" s="99" t="s">
        <v>364</v>
      </c>
      <c r="B148" s="101" t="s">
        <v>365</v>
      </c>
    </row>
    <row r="149" spans="1:2">
      <c r="A149" s="99" t="s">
        <v>366</v>
      </c>
      <c r="B149" s="101" t="s">
        <v>367</v>
      </c>
    </row>
    <row r="150" spans="1:2">
      <c r="A150" s="99" t="s">
        <v>368</v>
      </c>
      <c r="B150" s="101" t="s">
        <v>369</v>
      </c>
    </row>
    <row r="151" spans="1:2">
      <c r="A151" s="99" t="s">
        <v>370</v>
      </c>
      <c r="B151" s="101" t="s">
        <v>371</v>
      </c>
    </row>
    <row r="152" spans="1:2">
      <c r="A152" s="99" t="s">
        <v>372</v>
      </c>
      <c r="B152" s="101" t="s">
        <v>373</v>
      </c>
    </row>
    <row r="153" spans="1:2">
      <c r="A153" s="99" t="s">
        <v>374</v>
      </c>
      <c r="B153" s="101" t="s">
        <v>375</v>
      </c>
    </row>
    <row r="154" spans="1:2">
      <c r="A154" s="99" t="s">
        <v>376</v>
      </c>
      <c r="B154" s="101" t="s">
        <v>377</v>
      </c>
    </row>
    <row r="155" spans="1:2">
      <c r="A155" s="99" t="s">
        <v>378</v>
      </c>
      <c r="B155" s="101" t="s">
        <v>379</v>
      </c>
    </row>
    <row r="156" spans="1:2">
      <c r="A156" s="99" t="s">
        <v>380</v>
      </c>
      <c r="B156" s="101" t="s">
        <v>381</v>
      </c>
    </row>
    <row r="157" spans="1:2">
      <c r="A157" s="99" t="s">
        <v>382</v>
      </c>
      <c r="B157" s="101" t="s">
        <v>383</v>
      </c>
    </row>
    <row r="158" spans="1:2">
      <c r="A158" s="99" t="s">
        <v>384</v>
      </c>
      <c r="B158" s="101" t="s">
        <v>385</v>
      </c>
    </row>
    <row r="159" spans="1:2">
      <c r="A159" s="99" t="s">
        <v>386</v>
      </c>
      <c r="B159" s="101" t="s">
        <v>387</v>
      </c>
    </row>
    <row r="160" spans="1:2">
      <c r="A160" s="99" t="s">
        <v>388</v>
      </c>
      <c r="B160" s="101" t="s">
        <v>389</v>
      </c>
    </row>
    <row r="161" spans="1:2">
      <c r="A161" s="99" t="s">
        <v>390</v>
      </c>
      <c r="B161" s="101" t="s">
        <v>391</v>
      </c>
    </row>
    <row r="162" spans="1:2">
      <c r="A162" s="99" t="s">
        <v>392</v>
      </c>
      <c r="B162" s="101" t="s">
        <v>393</v>
      </c>
    </row>
    <row r="163" spans="1:2">
      <c r="A163" s="99" t="s">
        <v>394</v>
      </c>
      <c r="B163" s="101" t="s">
        <v>395</v>
      </c>
    </row>
    <row r="164" spans="1:2">
      <c r="A164" s="99" t="s">
        <v>396</v>
      </c>
      <c r="B164" s="101" t="s">
        <v>397</v>
      </c>
    </row>
    <row r="165" spans="1:2">
      <c r="A165" s="99" t="s">
        <v>398</v>
      </c>
      <c r="B165" s="101" t="s">
        <v>399</v>
      </c>
    </row>
    <row r="166" spans="1:2">
      <c r="A166" s="99" t="s">
        <v>400</v>
      </c>
      <c r="B166" s="101" t="s">
        <v>401</v>
      </c>
    </row>
    <row r="167" spans="1:2">
      <c r="A167" s="99" t="s">
        <v>402</v>
      </c>
      <c r="B167" s="101" t="s">
        <v>403</v>
      </c>
    </row>
    <row r="168" spans="1:2">
      <c r="A168" s="99" t="s">
        <v>404</v>
      </c>
      <c r="B168" s="101" t="s">
        <v>405</v>
      </c>
    </row>
    <row r="169" spans="1:2">
      <c r="A169" s="99" t="s">
        <v>406</v>
      </c>
      <c r="B169" s="101" t="s">
        <v>407</v>
      </c>
    </row>
    <row r="170" spans="1:2">
      <c r="A170" s="99" t="s">
        <v>408</v>
      </c>
      <c r="B170" s="101" t="s">
        <v>409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Budget Tables</vt:lpstr>
      <vt:lpstr>2) By Category</vt:lpstr>
      <vt:lpstr>3) Explanatory Notes</vt:lpstr>
      <vt:lpstr>4) For PBSO Use</vt:lpstr>
      <vt:lpstr>5) For MPTF Use</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Robinson</cp:lastModifiedBy>
  <cp:lastPrinted>2017-12-11T22:51:21Z</cp:lastPrinted>
  <dcterms:created xsi:type="dcterms:W3CDTF">2017-11-15T21:17:43Z</dcterms:created>
  <dcterms:modified xsi:type="dcterms:W3CDTF">2019-11-28T07:04:14Z</dcterms:modified>
</cp:coreProperties>
</file>