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Carlos.Paredes\OneDrive - United Nations Development Programme\INFORMES 2018\ANUALES\FINALES\1325\"/>
    </mc:Choice>
  </mc:AlternateContent>
  <xr:revisionPtr revIDLastSave="0" documentId="10_ncr:100000_{2DAF9590-BE77-4A77-8E37-FA51A540BB3C}" xr6:coauthVersionLast="31" xr6:coauthVersionMax="36" xr10:uidLastSave="{00000000-0000-0000-0000-000000000000}"/>
  <bookViews>
    <workbookView xWindow="0" yWindow="0" windowWidth="24000" windowHeight="9525" xr2:uid="{00000000-000D-0000-FFFF-FFFF00000000}"/>
  </bookViews>
  <sheets>
    <sheet name="Budget" sheetId="4" r:id="rId1"/>
    <sheet name="Tabla 2" sheetId="6" r:id="rId2"/>
  </sheets>
  <externalReferences>
    <externalReference r:id="rId3"/>
    <externalReference r:id="rId4"/>
  </externalReferenc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4" l="1"/>
  <c r="F41" i="4"/>
  <c r="F30" i="4"/>
  <c r="F18" i="4"/>
  <c r="F15" i="6" l="1"/>
  <c r="F16" i="6" s="1"/>
  <c r="E16" i="6"/>
  <c r="E8" i="6"/>
  <c r="F8" i="6"/>
  <c r="E9" i="6"/>
  <c r="F9" i="6"/>
  <c r="E10" i="6"/>
  <c r="F10" i="6"/>
  <c r="E11" i="6"/>
  <c r="F11" i="6"/>
  <c r="E12" i="6"/>
  <c r="F12" i="6"/>
  <c r="E13" i="6"/>
  <c r="F13" i="6"/>
  <c r="F7" i="6"/>
  <c r="E7" i="6"/>
  <c r="E14" i="6" s="1"/>
  <c r="E15" i="6" s="1"/>
  <c r="C16" i="6"/>
  <c r="D16" i="6"/>
  <c r="B16" i="6"/>
  <c r="C14" i="6"/>
  <c r="C15" i="6" s="1"/>
  <c r="D14" i="6"/>
  <c r="D15" i="6" s="1"/>
  <c r="B14" i="6"/>
  <c r="B15" i="6" s="1"/>
  <c r="F42" i="4"/>
  <c r="F24" i="4"/>
  <c r="F14" i="6" l="1"/>
  <c r="F22" i="4"/>
  <c r="F44" i="4" l="1"/>
  <c r="E43" i="4" l="1"/>
  <c r="E45" i="4" s="1"/>
  <c r="E41" i="4"/>
  <c r="F45" i="4"/>
  <c r="D41" i="4"/>
  <c r="D37" i="4"/>
  <c r="D36" i="4"/>
  <c r="D30" i="4"/>
  <c r="D42" i="4"/>
  <c r="D40" i="4"/>
  <c r="D39" i="4"/>
  <c r="D34" i="4"/>
  <c r="D33" i="4"/>
  <c r="D29" i="4"/>
  <c r="D27" i="4"/>
  <c r="D26" i="4"/>
  <c r="D24" i="4"/>
  <c r="D23" i="4"/>
  <c r="D22" i="4"/>
  <c r="D21" i="4"/>
  <c r="D15" i="4"/>
  <c r="D16" i="4"/>
  <c r="D11" i="4"/>
  <c r="D10" i="4"/>
  <c r="D18" i="4" s="1"/>
  <c r="D12" i="4"/>
  <c r="D43" i="4" l="1"/>
  <c r="D44" i="4" s="1"/>
  <c r="D45" i="4" s="1"/>
</calcChain>
</file>

<file path=xl/sharedStrings.xml><?xml version="1.0" encoding="utf-8"?>
<sst xmlns="http://schemas.openxmlformats.org/spreadsheetml/2006/main" count="110" uniqueCount="90">
  <si>
    <t>Annex D - PBF project budget</t>
  </si>
  <si>
    <t>Outcome/ Output number</t>
  </si>
  <si>
    <t>Outcome/ output/ activity formulation:</t>
  </si>
  <si>
    <t>Activity 1.1.1:</t>
  </si>
  <si>
    <t>Activity 1.1.2:</t>
  </si>
  <si>
    <t>Output 1.2:</t>
  </si>
  <si>
    <t>Activity 1.2.1:</t>
  </si>
  <si>
    <t>Activity 1.2.2:</t>
  </si>
  <si>
    <t>TOTAL $ FOR OUTCOME 1:</t>
  </si>
  <si>
    <t>Output 2.1:</t>
  </si>
  <si>
    <t>Activity 2.1.1:</t>
  </si>
  <si>
    <t>Activity 2.1.2:</t>
  </si>
  <si>
    <t>Activity 2.1.3:</t>
  </si>
  <si>
    <t>Output 2.2:</t>
  </si>
  <si>
    <t>Activity 2.2.1:</t>
  </si>
  <si>
    <t>TOTAL $ FOR OUTCOME 2:</t>
  </si>
  <si>
    <t>SUB-TOTAL PROJECT BUDGET:</t>
  </si>
  <si>
    <t>Indirect support costs (7%):</t>
  </si>
  <si>
    <t>TOTAL PROJECT BUDGET:</t>
  </si>
  <si>
    <t>Percent of budget for each output reserved for direct action on gender eqaulity (if any):</t>
  </si>
  <si>
    <t>Any remarks (e.g. on types of inputs provided or budget justification, for example if high TA or travel costs)</t>
  </si>
  <si>
    <t>CATEGORIES</t>
  </si>
  <si>
    <t>TOTAL</t>
  </si>
  <si>
    <t>1. Staff and other personnel</t>
  </si>
  <si>
    <t>2. Supplies, Commodities, Materials</t>
  </si>
  <si>
    <t>3. Equipment, Vehicles, and Furniture (including Depreciation)</t>
  </si>
  <si>
    <t>4. Contractual services</t>
  </si>
  <si>
    <t>5.Travel</t>
  </si>
  <si>
    <t>6. Transfers and Grants to Counterparts</t>
  </si>
  <si>
    <t>7. General Operating and other Direct Costs</t>
  </si>
  <si>
    <t>Sub-Total Project Costs</t>
  </si>
  <si>
    <t>8. Indirect Support Costs (must be 7%)</t>
  </si>
  <si>
    <t>Total tranche 1</t>
  </si>
  <si>
    <t>PROJECT TOTAL</t>
  </si>
  <si>
    <t>Note: If this is a budget revision, insert extra columns to show budget changes.</t>
  </si>
  <si>
    <t>Table 2 - PBF project budget by UN cost category</t>
  </si>
  <si>
    <t>Table 1 - PBF project budget by Outcome, output and activity</t>
  </si>
  <si>
    <t>Level of expenditure/ commitments in USD (to provide at time of project progress reporting):</t>
  </si>
  <si>
    <t xml:space="preserve">Output 1.1: </t>
  </si>
  <si>
    <t xml:space="preserve">OUTCOME 1:   El acceso de mujeres indígenas sobrevivientes de violencia sexual y de género relacionada con el conflicto y postconflicto a la justicia restaurativa y la reparación transformadora ha sido mejorado a través de su empoderamiento para la lucha contra la impunidad y el fortalecimiento de la incorporación de una perspectiva de derechos humanos de las mujeres en la investigación y la persecución penal realizada por el Ministerio Público. </t>
  </si>
  <si>
    <t xml:space="preserve">Acceso a la justicia restaurativa para 75 mujeres sobrevivientes de violencia sexual y de género incrementado Indicador del Producto </t>
  </si>
  <si>
    <t xml:space="preserve">El acceso de sobrevivientes de violencia sexual y de género a la justicia restaurativa se fortalece mediante la consolidación de los procesos de investigación y enjuiciamiento de cuatro casos por parte el Ministerio Público y el apoyo continuado al caso Sepur Zarco </t>
  </si>
  <si>
    <t>Participación de las sobrevivientes de violencia sexual y de género en el proceso de justicia restaurativa fortalecida mediante acciones legales, asistencia psicosocial y capacitación sobre derechos humanos de las mujeres.</t>
  </si>
  <si>
    <t>PNUD</t>
  </si>
  <si>
    <t>ONU Mujeres</t>
  </si>
  <si>
    <t>Apoyo al desarrollo y socialización de metodologías, propuestas y herramientas para supervisar el cumplimiento de las sentencias de reparación por parte del Ministerio Público en coordinación con las sobrevivientes y organizaciones de la sociedad civil</t>
  </si>
  <si>
    <t>Acceso de 75 sobrevivientes a reparaciones transformadoras mejorado a través de la elaboración de metodologías y propuestas</t>
  </si>
  <si>
    <t>Auditoría social, observancia y registro de casos de violencia sexual relacionada con el conflicto para solicitar servicios integrales y culturalmente pertinentes, medidas de cero-tolerancia a la discriminación, revictimización y medidas de no repetición, en estrecha coordinación con el Ministerio Público</t>
  </si>
  <si>
    <t>UNFPA</t>
  </si>
  <si>
    <t>OUTCOME 2:   La participación igualitaria de las mujeres mayas, xincas, garífunas y mestizas en la consolidación de la paz, el estado de derecho, y la toma de decisiones se fortalece a través de su empoderamiento como líderes y tenedoras de derechos civiles y políticos y la coordinación con instituciones clave para la implementación de los compromisos para el avance de las mujeres contenidos en los Acuerdos de Paz, de conformidad con la Agenda Global de Mujeres, Paz y Seguridad, en estrecha coordinación con el Ministerio Público.</t>
  </si>
  <si>
    <t>20 Mujeres constructoras de paz representantes de organizaciones de sociedad civil e instituciones estatales han mejorado sus capacidades para negociar leyes, normativas y acciones conjuntas para la implementación de los compromisos de los Acuerdos de Paz de 1996 y la Agenda Global de Mujeres, Paz y Seguridad, en estrecha coordinación con el Ministerio Público</t>
  </si>
  <si>
    <t>Promoción de cuatro leyes relacionadas con la sentencia de resarcimiento de Sepur Zarco (Implementación del Estatuto de Roma; Adhesión a la Convención sobre Desaparición Forzada; la Comisión sobre Desapariciones Forzadas; Día Nacional de Conmemoración de las Mujeres Sobrevivientes de Violencia Sexual relacionada con el Conflicto)</t>
  </si>
  <si>
    <t xml:space="preserve">Coordinación con el Ministerio Público y acciones conjuntas de fortalecimiento del dialogo con el Foro Nacional de la Mujer y mujeres representantes en el Consejo Nacional de los Acuerdos de Paz (CNAP) para avanzar en el cumplimiento de los Acuerdos de Paz  </t>
  </si>
  <si>
    <t>El Ministerio Público fortalece su participación y las capacidades de MIMPAZ para promover, implementar y monitorear la Resolución 1325 y resoluciones afines del Consejo de Seguridad de Naciones Unidas, así como la agenda de Mujeres, Paz y Seguridad a través de Plan Nacional de Acción 1325 vinculado a los Acuerdos de Paz</t>
  </si>
  <si>
    <t>Activity 2.1.4:</t>
  </si>
  <si>
    <t>Fortalecimiento de las redes constructoras de paz a nivel nacional y supranacional para generar propuestas basadas en el conocimiento, con el fin de avanzar en la implementación de los Acuerdos de Paz y la Agenda Global de Mujeres, Paz y Seguridad en coordinación con el Ministerio Público</t>
  </si>
  <si>
    <t>100 defensoras de los derechos humanos de las mujeres, la paz y la justicia, sus organizaciones y redes han reforzado sus voces y su participación en las iniciativas de reformas estatales para promover el estado de derecho, de conformidad con los compromisos de los Acuerdos de Paz de 1996 y la Agenda Global de Mujeres, Paz y Seguridad y en estrecha coordinación con el Ministerio Público</t>
  </si>
  <si>
    <t>Apoyo a participación de las defensoras de los derechos humanos de las mujeres en las iniciativas de reforma del estado</t>
  </si>
  <si>
    <t>Apoyo a las iniciativas de las defensoras de los derechos humanos de las mujeres para promover y monitorear la implementación de la Convención para la Eliminación de todas las Formas de Discriminación contra la Mujer (CEDAW) por sus siglas en inglés) vinculada a los Acuerdos de Paz de 1996 y la Agenda Global de Mujeres, Paz y Seguridad</t>
  </si>
  <si>
    <t>Activity 2.2.2:</t>
  </si>
  <si>
    <t>Output 2.3:</t>
  </si>
  <si>
    <t xml:space="preserve"> Cuatro organizaciones de mujeres especializadas en la participación política han fortalecidos sus voces y su participación en las iniciativas de reforma del poder político y público para promover la paridad en la representación de las mujeres, los hombres y los pueblos indígenas, de conformidad con los compromisos de los Acuerdos de Paz de 1996 y la Agenda Global de Mujeres, Paz y Seguridad</t>
  </si>
  <si>
    <t>Activity 2.3.1:</t>
  </si>
  <si>
    <t>Apoyo a mujeres especializadas en la participación política para avanzar propuestas para la consecución de la igualdad de representación de hombres, mujeres y pueblos indígenas en los ámbitos público y político.</t>
  </si>
  <si>
    <t>OUTCOME 3:  La provisión de servicios integrales a las mujeres indígenas, culturalmente pertinentes y basados en los derechos de las mujeres se ha incrementado a través de su empoderamiento en su derecho a una vida libre del continuo de la violencia y el fortalecimiento de la respuesta institucional del Ministerio Público.</t>
  </si>
  <si>
    <t>Output 3.1:</t>
  </si>
  <si>
    <t>Mujeres indígenas han fortalecido su capacidad para denunciar la violencia sexual y exigir reparaciones transformadoras y medidas de no repetición.</t>
  </si>
  <si>
    <t>Activity 3.1.1:</t>
  </si>
  <si>
    <t xml:space="preserve"> Fortalecimiento de las capacidades individuales y organizacionales de las mujeres indígenas, y de la Secretaria de Pueblos Indígenas del MP para identificar, denunciar y derivar casos de violencia, violencia sexual, racismo y discriminación contra las mujeres, como parte del proceso continuo de violencia sistemática contra las mujeres</t>
  </si>
  <si>
    <t>Procesos de capacitación a mujeres indígenas para exigir y reclamar sus derechos sexuales y reproductivos, y el derecho a una vida libre del continuo de violencia, discriminación y racismo.</t>
  </si>
  <si>
    <t>Activity 3.1.2:</t>
  </si>
  <si>
    <t>Output 3.2:</t>
  </si>
  <si>
    <t>La coordinación entre el Ministerio Público y de la Defensoría de la Mujer Indígena (DEMI) se ha reforzado PARA la prestación de atención integral a las sobrevivientes de violencia sexual y de género CON pertinencia cultural y lingüística y una perspectiva de derechos humanos</t>
  </si>
  <si>
    <t>Activity 3.2.1:</t>
  </si>
  <si>
    <t>Activity 3.2.2:</t>
  </si>
  <si>
    <t xml:space="preserve"> Inclusión de una pertinencia cultural y lingüística a los modelos de atención para las mujeres, adolescentes y niñas indígenas sobrevivientes.</t>
  </si>
  <si>
    <t>Procesos de capacitación sobre el auto cuidado y terapia emocional e individual para personas encargadas del cuidado y promotores a nivel comunitario para abordar la violencia sexual y de género.</t>
  </si>
  <si>
    <t>Output 3.3:</t>
  </si>
  <si>
    <t>las mujeres participan en el diseño, la negociación y el seguimiento de la prevención, la derivación y la reparación transformadora de la violencia sexual durante el conflicto y postconflicto, en estrecha coordinación con el Ministerio Público.</t>
  </si>
  <si>
    <t>Activity 3.3.1:</t>
  </si>
  <si>
    <t>Activity 3.3.2:</t>
  </si>
  <si>
    <t>Diálogo y alianzas entre el Ministerio Público, las mujeres indígenas, mujeres locales, líderes adolescentes y autoridades indígenas para promover una solución pacífica y una cultura cero-tolerancia respecto a la violencia sexual y de género en la comunidad.</t>
  </si>
  <si>
    <t>Apoyo a la elaboración de propuestas de reparación transformadora basadas en el intercambio de conocimientos y estándares internacionales de derechos humanos de las mujeres.</t>
  </si>
  <si>
    <t>Coordinación, comunicación, supervisión y evaluación</t>
  </si>
  <si>
    <t>TOTAL $ FOR OUTCOME 3:</t>
  </si>
  <si>
    <t>Amount Recipient  UNDP</t>
  </si>
  <si>
    <t>Amount Recipient  UNFPA</t>
  </si>
  <si>
    <t>Amount Recipient  
UN WOMEN</t>
  </si>
  <si>
    <t>Tranche 1 (100%)</t>
  </si>
  <si>
    <t xml:space="preserve">Budget by recipient organization in USD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</si>
</sst>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 ;_-[$$-409]* \-#,##0.00\ ;_-[$$-409]* &quot;-&quot;??_ ;_-@_ "/>
    <numFmt numFmtId="165" formatCode="_([$$-409]* #,##0.00_);_([$$-409]* \(#,##0.00\);_([$$-409]* &quot;-&quot;??_);_(@_)"/>
  </numFmts>
  <fonts count="10" x14ac:knownFonts="1">
    <font>
      <sz val="11"/>
      <color theme="1"/>
      <name val="Calibri"/>
      <family val="2"/>
      <scheme val="minor"/>
    </font>
    <font>
      <sz val="12"/>
      <color theme="1"/>
      <name val="Times New Roman"/>
      <family val="1"/>
    </font>
    <font>
      <b/>
      <sz val="12"/>
      <color theme="1"/>
      <name val="Times New Roman"/>
      <family val="1"/>
    </font>
    <font>
      <b/>
      <sz val="12"/>
      <color theme="1"/>
      <name val="Calibri"/>
      <family val="2"/>
      <scheme val="minor"/>
    </font>
    <font>
      <b/>
      <sz val="10"/>
      <color theme="1"/>
      <name val="Calibri"/>
      <family val="2"/>
    </font>
    <font>
      <sz val="10"/>
      <color theme="1"/>
      <name val="Calibri"/>
      <family val="2"/>
    </font>
    <font>
      <b/>
      <sz val="11"/>
      <color theme="1"/>
      <name val="Calibri"/>
      <family val="2"/>
      <scheme val="minor"/>
    </font>
    <font>
      <b/>
      <sz val="14"/>
      <color theme="1"/>
      <name val="Calibri"/>
      <family val="2"/>
      <scheme val="minor"/>
    </font>
    <font>
      <b/>
      <sz val="16"/>
      <color theme="1"/>
      <name val="Calibri"/>
      <family val="2"/>
      <scheme val="minor"/>
    </font>
    <font>
      <sz val="12"/>
      <name val="Times New Roman"/>
      <family val="1"/>
    </font>
  </fonts>
  <fills count="5">
    <fill>
      <patternFill patternType="none"/>
    </fill>
    <fill>
      <patternFill patternType="gray125"/>
    </fill>
    <fill>
      <patternFill patternType="solid">
        <fgColor rgb="FFB3B3B3"/>
        <bgColor indexed="64"/>
      </patternFill>
    </fill>
    <fill>
      <patternFill patternType="solid">
        <fgColor rgb="FFBFBFBF"/>
        <bgColor indexed="64"/>
      </patternFill>
    </fill>
    <fill>
      <patternFill patternType="solid">
        <fgColor rgb="FFD9D9D9"/>
        <bgColor indexed="64"/>
      </patternFill>
    </fill>
  </fills>
  <borders count="16">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51">
    <xf numFmtId="0" fontId="0" fillId="0" borderId="0" xfId="0"/>
    <xf numFmtId="0" fontId="3" fillId="0" borderId="0" xfId="0" applyFont="1"/>
    <xf numFmtId="0" fontId="4" fillId="3" borderId="2" xfId="0" applyFont="1" applyFill="1" applyBorder="1" applyAlignment="1">
      <alignment horizontal="center" vertical="center" wrapText="1"/>
    </xf>
    <xf numFmtId="0" fontId="5" fillId="0" borderId="1" xfId="0" applyFont="1" applyBorder="1" applyAlignment="1">
      <alignment vertical="center" wrapText="1"/>
    </xf>
    <xf numFmtId="0" fontId="4" fillId="4" borderId="1" xfId="0" applyFont="1" applyFill="1" applyBorder="1" applyAlignment="1">
      <alignment vertical="center" wrapText="1"/>
    </xf>
    <xf numFmtId="0" fontId="6" fillId="0" borderId="0" xfId="0" applyFont="1"/>
    <xf numFmtId="0" fontId="7" fillId="0" borderId="0" xfId="0" applyFont="1"/>
    <xf numFmtId="0" fontId="8" fillId="0" borderId="0" xfId="0" applyFont="1"/>
    <xf numFmtId="164" fontId="0" fillId="0" borderId="0" xfId="0" applyNumberFormat="1"/>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9" fontId="1" fillId="0" borderId="4" xfId="0" applyNumberFormat="1" applyFont="1" applyBorder="1" applyAlignment="1">
      <alignment horizontal="center" vertical="center" wrapText="1"/>
    </xf>
    <xf numFmtId="165" fontId="0" fillId="0" borderId="0" xfId="0" applyNumberFormat="1"/>
    <xf numFmtId="4" fontId="0" fillId="0" borderId="0" xfId="0" applyNumberFormat="1"/>
    <xf numFmtId="4" fontId="0" fillId="0" borderId="0" xfId="0" applyNumberFormat="1" applyAlignment="1">
      <alignment horizontal="center"/>
    </xf>
    <xf numFmtId="4" fontId="1" fillId="0" borderId="4" xfId="0" applyNumberFormat="1" applyFont="1" applyBorder="1" applyAlignment="1">
      <alignment horizontal="center" vertical="center" wrapText="1"/>
    </xf>
    <xf numFmtId="4" fontId="1" fillId="0" borderId="4" xfId="0" applyNumberFormat="1" applyFont="1" applyBorder="1" applyAlignment="1">
      <alignment vertical="center" wrapText="1"/>
    </xf>
    <xf numFmtId="4" fontId="2" fillId="0" borderId="4" xfId="0" applyNumberFormat="1" applyFont="1" applyBorder="1" applyAlignment="1">
      <alignment vertical="center" wrapText="1"/>
    </xf>
    <xf numFmtId="4" fontId="2" fillId="0" borderId="4" xfId="0"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3" fontId="5" fillId="0" borderId="2" xfId="0" applyNumberFormat="1" applyFont="1" applyBorder="1" applyAlignment="1">
      <alignment horizontal="right" vertical="center" wrapText="1"/>
    </xf>
    <xf numFmtId="3" fontId="5" fillId="4" borderId="2" xfId="0" applyNumberFormat="1" applyFont="1" applyFill="1" applyBorder="1" applyAlignment="1">
      <alignment horizontal="right" vertical="center" wrapText="1"/>
    </xf>
    <xf numFmtId="0" fontId="4" fillId="3" borderId="13" xfId="0" applyFont="1" applyFill="1" applyBorder="1" applyAlignment="1">
      <alignment horizontal="center" vertical="center" wrapText="1"/>
    </xf>
    <xf numFmtId="0" fontId="2" fillId="0" borderId="4" xfId="0" applyFont="1" applyBorder="1" applyAlignment="1">
      <alignment horizontal="righ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center" vertical="center" wrapText="1"/>
    </xf>
    <xf numFmtId="0" fontId="2" fillId="0" borderId="4" xfId="0" applyFont="1" applyBorder="1" applyAlignment="1">
      <alignment horizontal="left" vertical="center" wrapText="1"/>
    </xf>
    <xf numFmtId="0" fontId="1" fillId="0" borderId="4" xfId="0" applyFont="1" applyBorder="1" applyAlignment="1">
      <alignment horizontal="left" vertical="top" wrapText="1"/>
    </xf>
    <xf numFmtId="0" fontId="2" fillId="0" borderId="4" xfId="0" applyFont="1" applyBorder="1" applyAlignment="1">
      <alignment vertical="center" wrapText="1"/>
    </xf>
    <xf numFmtId="0" fontId="2" fillId="0" borderId="8" xfId="0" applyFont="1" applyBorder="1" applyAlignment="1">
      <alignment horizontal="right" vertical="center" wrapText="1"/>
    </xf>
    <xf numFmtId="0" fontId="2" fillId="0" borderId="7" xfId="0" applyFont="1" applyBorder="1" applyAlignment="1">
      <alignment horizontal="right" vertical="center" wrapText="1"/>
    </xf>
    <xf numFmtId="0" fontId="2" fillId="0" borderId="9" xfId="0" applyFont="1" applyBorder="1" applyAlignment="1">
      <alignment horizontal="right" vertical="center" wrapText="1"/>
    </xf>
    <xf numFmtId="0" fontId="2"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1" fillId="0" borderId="4" xfId="0" applyNumberFormat="1" applyFont="1" applyBorder="1" applyAlignment="1">
      <alignment vertical="center" wrapText="1"/>
    </xf>
    <xf numFmtId="164" fontId="2" fillId="0" borderId="4" xfId="0" applyNumberFormat="1" applyFont="1" applyBorder="1" applyAlignment="1">
      <alignment vertical="center" wrapText="1"/>
    </xf>
    <xf numFmtId="164" fontId="9" fillId="0" borderId="5" xfId="0" applyNumberFormat="1" applyFont="1" applyBorder="1" applyAlignment="1">
      <alignment horizontal="right" vertical="center" wrapText="1"/>
    </xf>
    <xf numFmtId="164" fontId="9" fillId="0" borderId="6"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my.sharepoint.com/Users/karol.ponciano/Documents/Programas/PBF/103528%20GPI3%20-1325/Finanzas/Copy%20of%20AAA%20103528%20ENERO%20-%20OCTUBRE%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dp-my.sharepoint.com/personal/carlos_paredes_one_un_org/Documents/INFORMES%202018/ANUALES/FINALES/1325/Annex%20D%20on%20budget%20%202018%20%20INFORME%20ANUAL%20UN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A 103528 ENERO - OCTUBRE 2018"/>
    </sheetNames>
    <sheetDataSet>
      <sheetData sheetId="0">
        <row r="61">
          <cell r="AC61">
            <v>3335.76</v>
          </cell>
        </row>
        <row r="62">
          <cell r="AC62">
            <v>4.63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ow r="26">
          <cell r="K26">
            <v>45980</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tabSelected="1" zoomScale="60" zoomScaleNormal="60" workbookViewId="0">
      <selection activeCell="H8" sqref="H8"/>
    </sheetView>
  </sheetViews>
  <sheetFormatPr defaultColWidth="9.140625" defaultRowHeight="15" x14ac:dyDescent="0.25"/>
  <cols>
    <col min="1" max="1" width="25.42578125" customWidth="1"/>
    <col min="2" max="2" width="67.7109375" customWidth="1"/>
    <col min="3" max="3" width="22.85546875" customWidth="1"/>
    <col min="4" max="4" width="25.42578125" style="14" customWidth="1"/>
    <col min="5" max="5" width="31.7109375" style="15" customWidth="1"/>
    <col min="6" max="6" width="30.5703125" style="14" customWidth="1"/>
    <col min="7" max="7" width="26.85546875" style="14" customWidth="1"/>
    <col min="8" max="8" width="22.7109375" customWidth="1"/>
    <col min="9" max="11" width="28.7109375" customWidth="1"/>
    <col min="12" max="12" width="34.140625" customWidth="1"/>
  </cols>
  <sheetData>
    <row r="1" spans="1:10" ht="21" x14ac:dyDescent="0.35">
      <c r="A1" s="7" t="s">
        <v>0</v>
      </c>
      <c r="B1" s="6"/>
      <c r="C1" s="6"/>
    </row>
    <row r="2" spans="1:10" ht="15.75" x14ac:dyDescent="0.25">
      <c r="A2" s="1"/>
      <c r="B2" s="1"/>
      <c r="C2" s="1"/>
    </row>
    <row r="3" spans="1:10" ht="15.75" x14ac:dyDescent="0.25">
      <c r="A3" s="1" t="s">
        <v>34</v>
      </c>
      <c r="B3" s="1"/>
      <c r="C3" s="1"/>
    </row>
    <row r="5" spans="1:10" ht="15.75" x14ac:dyDescent="0.25">
      <c r="A5" s="1" t="s">
        <v>36</v>
      </c>
    </row>
    <row r="7" spans="1:10" ht="99" customHeight="1" x14ac:dyDescent="0.25">
      <c r="A7" s="10" t="s">
        <v>1</v>
      </c>
      <c r="B7" s="10" t="s">
        <v>2</v>
      </c>
      <c r="C7" s="30" t="s">
        <v>89</v>
      </c>
      <c r="D7" s="30"/>
      <c r="E7" s="16" t="s">
        <v>19</v>
      </c>
      <c r="F7" s="17" t="s">
        <v>37</v>
      </c>
      <c r="G7" s="17" t="s">
        <v>20</v>
      </c>
      <c r="J7" s="14"/>
    </row>
    <row r="8" spans="1:10" ht="81.75" customHeight="1" x14ac:dyDescent="0.25">
      <c r="A8" s="31" t="s">
        <v>39</v>
      </c>
      <c r="B8" s="31"/>
      <c r="C8" s="31"/>
      <c r="D8" s="31"/>
      <c r="E8" s="31"/>
      <c r="F8" s="31"/>
      <c r="G8" s="31"/>
    </row>
    <row r="9" spans="1:10" ht="28.5" customHeight="1" x14ac:dyDescent="0.25">
      <c r="A9" s="9" t="s">
        <v>38</v>
      </c>
      <c r="B9" s="31" t="s">
        <v>40</v>
      </c>
      <c r="C9" s="31"/>
      <c r="D9" s="31"/>
      <c r="E9" s="31"/>
      <c r="F9" s="31"/>
      <c r="G9" s="31"/>
      <c r="J9" s="14"/>
    </row>
    <row r="10" spans="1:10" ht="62.25" customHeight="1" x14ac:dyDescent="0.25">
      <c r="A10" s="30" t="s">
        <v>3</v>
      </c>
      <c r="B10" s="32" t="s">
        <v>41</v>
      </c>
      <c r="C10" s="11" t="s">
        <v>43</v>
      </c>
      <c r="D10" s="47">
        <f>12000+1644.86+6000+5215</f>
        <v>24859.86</v>
      </c>
      <c r="E10" s="12">
        <v>1</v>
      </c>
      <c r="F10" s="47">
        <v>1041.06</v>
      </c>
      <c r="G10" s="17"/>
      <c r="H10" s="13"/>
      <c r="I10" s="13"/>
    </row>
    <row r="11" spans="1:10" ht="62.25" customHeight="1" x14ac:dyDescent="0.25">
      <c r="A11" s="30"/>
      <c r="B11" s="32"/>
      <c r="C11" s="11" t="s">
        <v>44</v>
      </c>
      <c r="D11" s="47">
        <f>6000</f>
        <v>6000</v>
      </c>
      <c r="E11" s="12">
        <v>1</v>
      </c>
      <c r="F11" s="47">
        <v>0</v>
      </c>
      <c r="G11" s="17"/>
    </row>
    <row r="12" spans="1:10" ht="60" customHeight="1" x14ac:dyDescent="0.25">
      <c r="A12" s="30" t="s">
        <v>4</v>
      </c>
      <c r="B12" s="32" t="s">
        <v>42</v>
      </c>
      <c r="C12" s="11" t="s">
        <v>43</v>
      </c>
      <c r="D12" s="47">
        <f>171355+6000+5215</f>
        <v>182570</v>
      </c>
      <c r="E12" s="12">
        <v>1</v>
      </c>
      <c r="F12" s="47">
        <v>57118.33</v>
      </c>
      <c r="G12" s="17"/>
      <c r="H12" s="13"/>
    </row>
    <row r="13" spans="1:10" ht="60" customHeight="1" x14ac:dyDescent="0.25">
      <c r="A13" s="30"/>
      <c r="B13" s="32"/>
      <c r="C13" s="11" t="s">
        <v>44</v>
      </c>
      <c r="D13" s="47">
        <v>15000</v>
      </c>
      <c r="E13" s="12">
        <v>1</v>
      </c>
      <c r="F13" s="47">
        <v>6000</v>
      </c>
      <c r="G13" s="17"/>
    </row>
    <row r="14" spans="1:10" ht="58.5" customHeight="1" x14ac:dyDescent="0.25">
      <c r="A14" s="9" t="s">
        <v>5</v>
      </c>
      <c r="B14" s="31" t="s">
        <v>46</v>
      </c>
      <c r="C14" s="31"/>
      <c r="D14" s="31"/>
      <c r="E14" s="31"/>
      <c r="F14" s="31"/>
      <c r="G14" s="31"/>
      <c r="I14" s="8"/>
    </row>
    <row r="15" spans="1:10" ht="53.25" customHeight="1" x14ac:dyDescent="0.25">
      <c r="A15" s="26" t="s">
        <v>6</v>
      </c>
      <c r="B15" s="28" t="s">
        <v>45</v>
      </c>
      <c r="C15" s="11" t="s">
        <v>43</v>
      </c>
      <c r="D15" s="47">
        <f>12000+3000+6000+5215</f>
        <v>26215</v>
      </c>
      <c r="E15" s="12">
        <v>1</v>
      </c>
      <c r="F15" s="47">
        <v>927.35</v>
      </c>
      <c r="G15" s="17"/>
      <c r="H15" s="13"/>
      <c r="I15" s="8"/>
    </row>
    <row r="16" spans="1:10" ht="53.25" customHeight="1" x14ac:dyDescent="0.25">
      <c r="A16" s="27"/>
      <c r="B16" s="29"/>
      <c r="C16" s="11" t="s">
        <v>44</v>
      </c>
      <c r="D16" s="47">
        <f>3000+2000+16000</f>
        <v>21000</v>
      </c>
      <c r="E16" s="12">
        <v>1</v>
      </c>
      <c r="F16" s="47">
        <v>5000</v>
      </c>
      <c r="G16" s="17"/>
      <c r="I16" s="8"/>
    </row>
    <row r="17" spans="1:10" ht="130.5" customHeight="1" x14ac:dyDescent="0.25">
      <c r="A17" s="10" t="s">
        <v>7</v>
      </c>
      <c r="B17" s="10" t="s">
        <v>47</v>
      </c>
      <c r="C17" s="11" t="s">
        <v>48</v>
      </c>
      <c r="D17" s="47">
        <v>70000</v>
      </c>
      <c r="E17" s="12">
        <v>1</v>
      </c>
      <c r="F17" s="47">
        <v>50000</v>
      </c>
      <c r="G17" s="17"/>
      <c r="H17" s="8"/>
      <c r="I17" s="8"/>
    </row>
    <row r="18" spans="1:10" ht="30" customHeight="1" x14ac:dyDescent="0.25">
      <c r="A18" s="25" t="s">
        <v>8</v>
      </c>
      <c r="B18" s="25"/>
      <c r="C18" s="25"/>
      <c r="D18" s="48">
        <f>D10+D11+D12+D13+D15+D17+D16</f>
        <v>345644.86</v>
      </c>
      <c r="E18" s="18"/>
      <c r="F18" s="48">
        <f>F10+F11+F12+F13+F15+F17+F16</f>
        <v>120086.73999999999</v>
      </c>
      <c r="G18" s="18"/>
      <c r="I18" s="8"/>
      <c r="J18" s="13"/>
    </row>
    <row r="19" spans="1:10" ht="78.75" customHeight="1" x14ac:dyDescent="0.25">
      <c r="A19" s="33" t="s">
        <v>49</v>
      </c>
      <c r="B19" s="33"/>
      <c r="C19" s="33"/>
      <c r="D19" s="33"/>
      <c r="E19" s="33"/>
      <c r="F19" s="33"/>
      <c r="G19" s="33"/>
      <c r="I19" s="8"/>
    </row>
    <row r="20" spans="1:10" ht="74.25" customHeight="1" x14ac:dyDescent="0.25">
      <c r="A20" s="9" t="s">
        <v>9</v>
      </c>
      <c r="B20" s="31" t="s">
        <v>50</v>
      </c>
      <c r="C20" s="31"/>
      <c r="D20" s="31"/>
      <c r="E20" s="31"/>
      <c r="F20" s="31"/>
      <c r="G20" s="31"/>
    </row>
    <row r="21" spans="1:10" ht="130.5" customHeight="1" x14ac:dyDescent="0.25">
      <c r="A21" s="10" t="s">
        <v>10</v>
      </c>
      <c r="B21" s="10" t="s">
        <v>51</v>
      </c>
      <c r="C21" s="11" t="s">
        <v>44</v>
      </c>
      <c r="D21" s="47">
        <f>1000+2000+15000</f>
        <v>18000</v>
      </c>
      <c r="E21" s="12">
        <v>1</v>
      </c>
      <c r="F21" s="47">
        <v>12000</v>
      </c>
      <c r="G21" s="17"/>
      <c r="H21" s="13"/>
      <c r="I21" s="14"/>
    </row>
    <row r="22" spans="1:10" ht="130.5" customHeight="1" x14ac:dyDescent="0.25">
      <c r="A22" s="10" t="s">
        <v>11</v>
      </c>
      <c r="B22" s="10" t="s">
        <v>52</v>
      </c>
      <c r="C22" s="11" t="s">
        <v>44</v>
      </c>
      <c r="D22" s="47">
        <f>14500+1500+3000+2000</f>
        <v>21000</v>
      </c>
      <c r="E22" s="12">
        <v>1</v>
      </c>
      <c r="F22" s="47">
        <f>'[1]AAA 103528 ENERO - OCTUBRE 2018'!$AC$61+'[1]AAA 103528 ENERO - OCTUBRE 2018'!$AC$62</f>
        <v>3340.3900000000003</v>
      </c>
      <c r="G22" s="17"/>
    </row>
    <row r="23" spans="1:10" ht="132" customHeight="1" x14ac:dyDescent="0.25">
      <c r="A23" s="10" t="s">
        <v>12</v>
      </c>
      <c r="B23" s="10" t="s">
        <v>53</v>
      </c>
      <c r="C23" s="11" t="s">
        <v>44</v>
      </c>
      <c r="D23" s="47">
        <f>10000+1500+2000+11000</f>
        <v>24500</v>
      </c>
      <c r="E23" s="12">
        <v>1</v>
      </c>
      <c r="F23" s="47">
        <v>3000</v>
      </c>
      <c r="G23" s="17"/>
    </row>
    <row r="24" spans="1:10" ht="123" customHeight="1" x14ac:dyDescent="0.25">
      <c r="A24" s="10" t="s">
        <v>54</v>
      </c>
      <c r="B24" s="10" t="s">
        <v>55</v>
      </c>
      <c r="C24" s="11" t="s">
        <v>44</v>
      </c>
      <c r="D24" s="47">
        <f>44000+4000+2000</f>
        <v>50000</v>
      </c>
      <c r="E24" s="12">
        <v>1</v>
      </c>
      <c r="F24" s="47">
        <f>10600+4692</f>
        <v>15292</v>
      </c>
      <c r="G24" s="17"/>
      <c r="I24" s="14"/>
    </row>
    <row r="25" spans="1:10" ht="77.25" customHeight="1" x14ac:dyDescent="0.25">
      <c r="A25" s="9" t="s">
        <v>13</v>
      </c>
      <c r="B25" s="31" t="s">
        <v>56</v>
      </c>
      <c r="C25" s="31"/>
      <c r="D25" s="31"/>
      <c r="E25" s="31"/>
      <c r="F25" s="31"/>
      <c r="G25" s="31"/>
    </row>
    <row r="26" spans="1:10" ht="93.75" customHeight="1" x14ac:dyDescent="0.25">
      <c r="A26" s="10" t="s">
        <v>14</v>
      </c>
      <c r="B26" s="10" t="s">
        <v>57</v>
      </c>
      <c r="C26" s="11" t="s">
        <v>44</v>
      </c>
      <c r="D26" s="47">
        <f>8000+2000+3000+26000</f>
        <v>39000</v>
      </c>
      <c r="E26" s="12">
        <v>1</v>
      </c>
      <c r="F26" s="47">
        <v>3700</v>
      </c>
      <c r="G26" s="17"/>
      <c r="I26" s="14"/>
    </row>
    <row r="27" spans="1:10" ht="129.75" customHeight="1" x14ac:dyDescent="0.25">
      <c r="A27" s="10" t="s">
        <v>59</v>
      </c>
      <c r="B27" s="10" t="s">
        <v>58</v>
      </c>
      <c r="C27" s="11" t="s">
        <v>44</v>
      </c>
      <c r="D27" s="47">
        <f>10000+1000+2500+22000</f>
        <v>35500</v>
      </c>
      <c r="E27" s="12">
        <v>1</v>
      </c>
      <c r="F27" s="47">
        <v>5000</v>
      </c>
      <c r="G27" s="17"/>
    </row>
    <row r="28" spans="1:10" ht="98.25" customHeight="1" x14ac:dyDescent="0.25">
      <c r="A28" s="9" t="s">
        <v>60</v>
      </c>
      <c r="B28" s="31" t="s">
        <v>61</v>
      </c>
      <c r="C28" s="31"/>
      <c r="D28" s="31"/>
      <c r="E28" s="31"/>
      <c r="F28" s="31"/>
      <c r="G28" s="31"/>
    </row>
    <row r="29" spans="1:10" ht="121.5" customHeight="1" x14ac:dyDescent="0.25">
      <c r="A29" s="10" t="s">
        <v>62</v>
      </c>
      <c r="B29" s="10" t="s">
        <v>63</v>
      </c>
      <c r="C29" s="11" t="s">
        <v>44</v>
      </c>
      <c r="D29" s="47">
        <f>25000+18000</f>
        <v>43000</v>
      </c>
      <c r="E29" s="12">
        <v>1</v>
      </c>
      <c r="F29" s="47">
        <v>5000</v>
      </c>
      <c r="G29" s="17"/>
      <c r="I29" s="14"/>
    </row>
    <row r="30" spans="1:10" ht="34.5" customHeight="1" x14ac:dyDescent="0.25">
      <c r="A30" s="34" t="s">
        <v>15</v>
      </c>
      <c r="B30" s="35"/>
      <c r="C30" s="36"/>
      <c r="D30" s="48">
        <f>D29+D27+D26+D24+D23+D22+D21</f>
        <v>231000</v>
      </c>
      <c r="E30" s="18"/>
      <c r="F30" s="48">
        <f>SUM(F21:F24,F26:F27,F29)</f>
        <v>47332.39</v>
      </c>
      <c r="G30" s="18"/>
    </row>
    <row r="31" spans="1:10" ht="63.75" customHeight="1" x14ac:dyDescent="0.25">
      <c r="A31" s="33" t="s">
        <v>64</v>
      </c>
      <c r="B31" s="33"/>
      <c r="C31" s="33"/>
      <c r="D31" s="33"/>
      <c r="E31" s="33"/>
      <c r="F31" s="33"/>
      <c r="G31" s="33"/>
      <c r="I31" s="8"/>
    </row>
    <row r="32" spans="1:10" ht="53.25" customHeight="1" x14ac:dyDescent="0.25">
      <c r="A32" s="9" t="s">
        <v>65</v>
      </c>
      <c r="B32" s="31" t="s">
        <v>66</v>
      </c>
      <c r="C32" s="31"/>
      <c r="D32" s="31"/>
      <c r="E32" s="31"/>
      <c r="F32" s="31"/>
      <c r="G32" s="31"/>
    </row>
    <row r="33" spans="1:9" ht="105" customHeight="1" x14ac:dyDescent="0.25">
      <c r="A33" s="10" t="s">
        <v>67</v>
      </c>
      <c r="B33" s="10" t="s">
        <v>68</v>
      </c>
      <c r="C33" s="11" t="s">
        <v>48</v>
      </c>
      <c r="D33" s="47">
        <f>20000</f>
        <v>20000</v>
      </c>
      <c r="E33" s="12">
        <v>1</v>
      </c>
      <c r="F33" s="49">
        <v>25399</v>
      </c>
      <c r="G33" s="17"/>
    </row>
    <row r="34" spans="1:9" ht="105.75" customHeight="1" x14ac:dyDescent="0.25">
      <c r="A34" s="10" t="s">
        <v>70</v>
      </c>
      <c r="B34" s="10" t="s">
        <v>69</v>
      </c>
      <c r="C34" s="11" t="s">
        <v>48</v>
      </c>
      <c r="D34" s="47">
        <f>10000+8645</f>
        <v>18645</v>
      </c>
      <c r="E34" s="12">
        <v>1</v>
      </c>
      <c r="F34" s="50"/>
      <c r="G34" s="17"/>
    </row>
    <row r="35" spans="1:9" ht="53.25" customHeight="1" x14ac:dyDescent="0.25">
      <c r="A35" s="9" t="s">
        <v>71</v>
      </c>
      <c r="B35" s="31" t="s">
        <v>72</v>
      </c>
      <c r="C35" s="31"/>
      <c r="D35" s="31"/>
      <c r="E35" s="31"/>
      <c r="F35" s="31"/>
      <c r="G35" s="31"/>
    </row>
    <row r="36" spans="1:9" ht="73.5" customHeight="1" x14ac:dyDescent="0.25">
      <c r="A36" s="10" t="s">
        <v>73</v>
      </c>
      <c r="B36" s="10" t="s">
        <v>75</v>
      </c>
      <c r="C36" s="11" t="s">
        <v>48</v>
      </c>
      <c r="D36" s="47">
        <f>15000+10000</f>
        <v>25000</v>
      </c>
      <c r="E36" s="12">
        <v>1</v>
      </c>
      <c r="F36" s="49">
        <v>34205</v>
      </c>
      <c r="G36" s="17"/>
    </row>
    <row r="37" spans="1:9" ht="87" customHeight="1" x14ac:dyDescent="0.25">
      <c r="A37" s="10" t="s">
        <v>74</v>
      </c>
      <c r="B37" s="10" t="s">
        <v>76</v>
      </c>
      <c r="C37" s="11" t="s">
        <v>48</v>
      </c>
      <c r="D37" s="47">
        <f>25000</f>
        <v>25000</v>
      </c>
      <c r="E37" s="12">
        <v>1</v>
      </c>
      <c r="F37" s="50"/>
      <c r="G37" s="17"/>
    </row>
    <row r="38" spans="1:9" ht="53.25" customHeight="1" x14ac:dyDescent="0.25">
      <c r="A38" s="9" t="s">
        <v>77</v>
      </c>
      <c r="B38" s="31" t="s">
        <v>78</v>
      </c>
      <c r="C38" s="31"/>
      <c r="D38" s="31"/>
      <c r="E38" s="31"/>
      <c r="F38" s="31"/>
      <c r="G38" s="31"/>
    </row>
    <row r="39" spans="1:9" ht="105.75" customHeight="1" x14ac:dyDescent="0.25">
      <c r="A39" s="10" t="s">
        <v>79</v>
      </c>
      <c r="B39" s="10" t="s">
        <v>81</v>
      </c>
      <c r="C39" s="11" t="s">
        <v>48</v>
      </c>
      <c r="D39" s="47">
        <f>50000+20000+5000</f>
        <v>75000</v>
      </c>
      <c r="E39" s="12">
        <v>1</v>
      </c>
      <c r="F39" s="47">
        <v>35627</v>
      </c>
      <c r="G39" s="17"/>
    </row>
    <row r="40" spans="1:9" ht="96.75" customHeight="1" x14ac:dyDescent="0.25">
      <c r="A40" s="10" t="s">
        <v>80</v>
      </c>
      <c r="B40" s="10" t="s">
        <v>82</v>
      </c>
      <c r="C40" s="11" t="s">
        <v>44</v>
      </c>
      <c r="D40" s="47">
        <f>1000+1000+19000</f>
        <v>21000</v>
      </c>
      <c r="E40" s="12">
        <v>1</v>
      </c>
      <c r="F40" s="47">
        <v>13000</v>
      </c>
      <c r="G40" s="17"/>
      <c r="I40" s="14"/>
    </row>
    <row r="41" spans="1:9" ht="21" customHeight="1" x14ac:dyDescent="0.25">
      <c r="A41" s="34" t="s">
        <v>84</v>
      </c>
      <c r="B41" s="35"/>
      <c r="C41" s="36"/>
      <c r="D41" s="48">
        <f>D33+D34+D36+D37+D39+D40</f>
        <v>184645</v>
      </c>
      <c r="E41" s="18">
        <f t="shared" ref="E41:F41" si="0">E33+E34+E36+E37+E39+E40</f>
        <v>6</v>
      </c>
      <c r="F41" s="48">
        <f>F33+F34+F36+F37+F39+F40</f>
        <v>108231</v>
      </c>
      <c r="G41" s="18"/>
    </row>
    <row r="42" spans="1:9" ht="21" customHeight="1" x14ac:dyDescent="0.25">
      <c r="A42" s="38" t="s">
        <v>83</v>
      </c>
      <c r="B42" s="39"/>
      <c r="C42" s="40"/>
      <c r="D42" s="48">
        <f>20000+28000+18000+30000+50000+9290+10000+8000</f>
        <v>173290</v>
      </c>
      <c r="E42" s="19"/>
      <c r="F42" s="47">
        <f>[2]Sheet1!$K$26</f>
        <v>45980</v>
      </c>
      <c r="G42" s="18"/>
      <c r="I42" s="14"/>
    </row>
    <row r="43" spans="1:9" ht="21" customHeight="1" x14ac:dyDescent="0.25">
      <c r="A43" s="37" t="s">
        <v>16</v>
      </c>
      <c r="B43" s="37"/>
      <c r="C43" s="37"/>
      <c r="D43" s="48">
        <f>D42+D41+D30+D18</f>
        <v>934579.86</v>
      </c>
      <c r="E43" s="18">
        <f t="shared" ref="E43:F43" si="1">E42+E41+E30+E18</f>
        <v>6</v>
      </c>
      <c r="F43" s="48">
        <f>F42+F41+F30+F18</f>
        <v>321630.13</v>
      </c>
      <c r="G43" s="18"/>
    </row>
    <row r="44" spans="1:9" ht="21" customHeight="1" x14ac:dyDescent="0.25">
      <c r="A44" s="30" t="s">
        <v>17</v>
      </c>
      <c r="B44" s="30"/>
      <c r="C44" s="30"/>
      <c r="D44" s="47">
        <f>D43*0.07</f>
        <v>65420.590200000006</v>
      </c>
      <c r="E44" s="16"/>
      <c r="F44" s="47">
        <f>4136.07</f>
        <v>4136.07</v>
      </c>
      <c r="G44" s="17"/>
    </row>
    <row r="45" spans="1:9" ht="21" customHeight="1" x14ac:dyDescent="0.25">
      <c r="A45" s="37" t="s">
        <v>18</v>
      </c>
      <c r="B45" s="37"/>
      <c r="C45" s="37"/>
      <c r="D45" s="48">
        <f>SUM(D43:D44)</f>
        <v>1000000.4502</v>
      </c>
      <c r="E45" s="18">
        <f t="shared" ref="E45:F45" si="2">SUM(E43:E44)</f>
        <v>6</v>
      </c>
      <c r="F45" s="48">
        <f t="shared" si="2"/>
        <v>325766.2</v>
      </c>
      <c r="G45" s="18"/>
    </row>
    <row r="51" ht="25.5" customHeight="1" x14ac:dyDescent="0.25"/>
  </sheetData>
  <mergeCells count="27">
    <mergeCell ref="F33:F34"/>
    <mergeCell ref="F36:F37"/>
    <mergeCell ref="A41:C41"/>
    <mergeCell ref="A44:C44"/>
    <mergeCell ref="A45:C45"/>
    <mergeCell ref="A42:C42"/>
    <mergeCell ref="B35:G35"/>
    <mergeCell ref="B38:G38"/>
    <mergeCell ref="A43:C43"/>
    <mergeCell ref="A19:G19"/>
    <mergeCell ref="B20:G20"/>
    <mergeCell ref="B25:G25"/>
    <mergeCell ref="B28:G28"/>
    <mergeCell ref="B32:G32"/>
    <mergeCell ref="A31:G31"/>
    <mergeCell ref="A30:C30"/>
    <mergeCell ref="A18:C18"/>
    <mergeCell ref="A15:A16"/>
    <mergeCell ref="B15:B16"/>
    <mergeCell ref="C7:D7"/>
    <mergeCell ref="A8:G8"/>
    <mergeCell ref="B9:G9"/>
    <mergeCell ref="B14:G14"/>
    <mergeCell ref="A10:A11"/>
    <mergeCell ref="B10:B11"/>
    <mergeCell ref="A12:A13"/>
    <mergeCell ref="B12:B13"/>
  </mergeCells>
  <pageMargins left="0.25" right="0.25" top="0.75" bottom="0.75" header="0.3" footer="0.3"/>
  <pageSetup scale="58" fitToHeight="0" orientation="landscape" r:id="rId1"/>
  <rowBreaks count="2" manualBreakCount="2">
    <brk id="44" max="16383" man="1"/>
    <brk id="48"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8C21-E1C2-4569-AB71-254007FEABFA}">
  <dimension ref="A1:F16"/>
  <sheetViews>
    <sheetView topLeftCell="A9" workbookViewId="0">
      <selection activeCell="F16" sqref="F16"/>
    </sheetView>
  </sheetViews>
  <sheetFormatPr defaultColWidth="9.140625" defaultRowHeight="15" x14ac:dyDescent="0.25"/>
  <cols>
    <col min="1" max="1" width="15.5703125" customWidth="1"/>
    <col min="2" max="2" width="12.85546875" customWidth="1"/>
    <col min="3" max="3" width="13.5703125" customWidth="1"/>
    <col min="4" max="5" width="13" customWidth="1"/>
    <col min="6" max="6" width="12.5703125" customWidth="1"/>
  </cols>
  <sheetData>
    <row r="1" spans="1:6" ht="15.75" x14ac:dyDescent="0.25">
      <c r="A1" s="1" t="s">
        <v>35</v>
      </c>
      <c r="B1" s="1"/>
      <c r="C1" s="1"/>
    </row>
    <row r="2" spans="1:6" x14ac:dyDescent="0.25">
      <c r="A2" s="5"/>
      <c r="B2" s="5"/>
      <c r="C2" s="5"/>
    </row>
    <row r="3" spans="1:6" x14ac:dyDescent="0.25">
      <c r="A3" s="5" t="s">
        <v>34</v>
      </c>
      <c r="B3" s="5"/>
      <c r="C3" s="5"/>
    </row>
    <row r="4" spans="1:6" ht="15.75" thickBot="1" x14ac:dyDescent="0.3"/>
    <row r="5" spans="1:6" ht="39" thickBot="1" x14ac:dyDescent="0.3">
      <c r="A5" s="41" t="s">
        <v>21</v>
      </c>
      <c r="B5" s="20" t="s">
        <v>85</v>
      </c>
      <c r="C5" s="21" t="s">
        <v>86</v>
      </c>
      <c r="D5" s="20" t="s">
        <v>87</v>
      </c>
      <c r="E5" s="45" t="s">
        <v>32</v>
      </c>
      <c r="F5" s="43" t="s">
        <v>33</v>
      </c>
    </row>
    <row r="6" spans="1:6" ht="26.25" thickBot="1" x14ac:dyDescent="0.3">
      <c r="A6" s="42"/>
      <c r="B6" s="2" t="s">
        <v>88</v>
      </c>
      <c r="C6" s="2" t="s">
        <v>88</v>
      </c>
      <c r="D6" s="24" t="s">
        <v>88</v>
      </c>
      <c r="E6" s="46"/>
      <c r="F6" s="44"/>
    </row>
    <row r="7" spans="1:6" ht="26.25" thickBot="1" x14ac:dyDescent="0.3">
      <c r="A7" s="3" t="s">
        <v>23</v>
      </c>
      <c r="B7" s="22">
        <v>18000</v>
      </c>
      <c r="C7" s="22">
        <v>75000</v>
      </c>
      <c r="D7" s="22">
        <v>110500</v>
      </c>
      <c r="E7" s="22">
        <f>SUM(B7:D7)</f>
        <v>203500</v>
      </c>
      <c r="F7" s="22">
        <f>E7</f>
        <v>203500</v>
      </c>
    </row>
    <row r="8" spans="1:6" ht="39" thickBot="1" x14ac:dyDescent="0.3">
      <c r="A8" s="3" t="s">
        <v>24</v>
      </c>
      <c r="B8" s="22">
        <v>4645</v>
      </c>
      <c r="C8" s="22">
        <v>8645</v>
      </c>
      <c r="D8" s="22">
        <v>12000</v>
      </c>
      <c r="E8" s="22">
        <f t="shared" ref="E8:E13" si="0">SUM(B8:D8)</f>
        <v>25290</v>
      </c>
      <c r="F8" s="22">
        <f t="shared" ref="F8:F13" si="1">E8</f>
        <v>25290</v>
      </c>
    </row>
    <row r="9" spans="1:6" ht="64.5" thickBot="1" x14ac:dyDescent="0.3">
      <c r="A9" s="3" t="s">
        <v>25</v>
      </c>
      <c r="B9" s="22">
        <v>0</v>
      </c>
      <c r="C9" s="22">
        <v>0</v>
      </c>
      <c r="D9" s="22">
        <v>9290</v>
      </c>
      <c r="E9" s="22">
        <f t="shared" si="0"/>
        <v>9290</v>
      </c>
      <c r="F9" s="22">
        <f t="shared" si="1"/>
        <v>9290</v>
      </c>
    </row>
    <row r="10" spans="1:6" ht="26.25" thickBot="1" x14ac:dyDescent="0.3">
      <c r="A10" s="3" t="s">
        <v>26</v>
      </c>
      <c r="B10" s="22">
        <v>24000</v>
      </c>
      <c r="C10" s="22">
        <v>50000</v>
      </c>
      <c r="D10" s="22">
        <v>92500</v>
      </c>
      <c r="E10" s="22">
        <f t="shared" si="0"/>
        <v>166500</v>
      </c>
      <c r="F10" s="22">
        <f t="shared" si="1"/>
        <v>166500</v>
      </c>
    </row>
    <row r="11" spans="1:6" ht="15.75" thickBot="1" x14ac:dyDescent="0.3">
      <c r="A11" s="3" t="s">
        <v>27</v>
      </c>
      <c r="B11" s="22">
        <v>0</v>
      </c>
      <c r="C11" s="22">
        <v>5000</v>
      </c>
      <c r="D11" s="22">
        <v>12000</v>
      </c>
      <c r="E11" s="22">
        <f t="shared" si="0"/>
        <v>17000</v>
      </c>
      <c r="F11" s="22">
        <f t="shared" si="1"/>
        <v>17000</v>
      </c>
    </row>
    <row r="12" spans="1:6" ht="39" thickBot="1" x14ac:dyDescent="0.3">
      <c r="A12" s="3" t="s">
        <v>28</v>
      </c>
      <c r="B12" s="22">
        <v>171355</v>
      </c>
      <c r="C12" s="22">
        <v>95000</v>
      </c>
      <c r="D12" s="22">
        <v>223000</v>
      </c>
      <c r="E12" s="22">
        <f t="shared" si="0"/>
        <v>489355</v>
      </c>
      <c r="F12" s="22">
        <f t="shared" si="1"/>
        <v>489355</v>
      </c>
    </row>
    <row r="13" spans="1:6" ht="39" thickBot="1" x14ac:dyDescent="0.3">
      <c r="A13" s="3" t="s">
        <v>29</v>
      </c>
      <c r="B13" s="22">
        <v>15645</v>
      </c>
      <c r="C13" s="22">
        <v>0</v>
      </c>
      <c r="D13" s="22">
        <v>8000</v>
      </c>
      <c r="E13" s="22">
        <f t="shared" si="0"/>
        <v>23645</v>
      </c>
      <c r="F13" s="22">
        <f t="shared" si="1"/>
        <v>23645</v>
      </c>
    </row>
    <row r="14" spans="1:6" ht="26.25" thickBot="1" x14ac:dyDescent="0.3">
      <c r="A14" s="4" t="s">
        <v>30</v>
      </c>
      <c r="B14" s="23">
        <f>SUM(B7:B13)</f>
        <v>233645</v>
      </c>
      <c r="C14" s="23">
        <f t="shared" ref="C14:E14" si="2">SUM(C7:C13)</f>
        <v>233645</v>
      </c>
      <c r="D14" s="23">
        <f t="shared" si="2"/>
        <v>467290</v>
      </c>
      <c r="E14" s="23">
        <f t="shared" si="2"/>
        <v>934580</v>
      </c>
      <c r="F14" s="23">
        <f>SUM(F7:F13)</f>
        <v>934580</v>
      </c>
    </row>
    <row r="15" spans="1:6" ht="39" thickBot="1" x14ac:dyDescent="0.3">
      <c r="A15" s="3" t="s">
        <v>31</v>
      </c>
      <c r="B15" s="22">
        <f>B14*0.07</f>
        <v>16355.150000000001</v>
      </c>
      <c r="C15" s="22">
        <f t="shared" ref="C15:E15" si="3">C14*0.07</f>
        <v>16355.150000000001</v>
      </c>
      <c r="D15" s="22">
        <f t="shared" si="3"/>
        <v>32710.300000000003</v>
      </c>
      <c r="E15" s="22">
        <f t="shared" si="3"/>
        <v>65420.600000000006</v>
      </c>
      <c r="F15" s="22">
        <f>F14*0.07-1</f>
        <v>65419.600000000006</v>
      </c>
    </row>
    <row r="16" spans="1:6" ht="15.75" thickBot="1" x14ac:dyDescent="0.3">
      <c r="A16" s="4" t="s">
        <v>22</v>
      </c>
      <c r="B16" s="23">
        <f>SUM(B14:B15)</f>
        <v>250000.15</v>
      </c>
      <c r="C16" s="23">
        <f t="shared" ref="C16:D16" si="4">SUM(C14:C15)</f>
        <v>250000.15</v>
      </c>
      <c r="D16" s="23">
        <f t="shared" si="4"/>
        <v>500000.3</v>
      </c>
      <c r="E16" s="23">
        <f t="shared" ref="E16" si="5">SUM(E14:E15)</f>
        <v>1000000.6</v>
      </c>
      <c r="F16" s="23">
        <f t="shared" ref="F16" si="6">SUM(F14:F15)</f>
        <v>999999.6</v>
      </c>
    </row>
  </sheetData>
  <mergeCells count="3">
    <mergeCell ref="A5:A6"/>
    <mergeCell ref="F5:F6"/>
    <mergeCell ref="E5: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Tabla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 Zelenovic</dc:creator>
  <cp:lastModifiedBy>Carlos A. Paredes Solís</cp:lastModifiedBy>
  <cp:lastPrinted>2018-11-08T15:09:57Z</cp:lastPrinted>
  <dcterms:created xsi:type="dcterms:W3CDTF">2017-11-15T21:17:43Z</dcterms:created>
  <dcterms:modified xsi:type="dcterms:W3CDTF">2018-11-08T15:09:59Z</dcterms:modified>
</cp:coreProperties>
</file>